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fileSharing readOnlyRecommended="1"/>
  <workbookPr updateLinks="never" codeName="ThisWorkbook" hidePivotFieldList="1" defaultThemeVersion="124226"/>
  <mc:AlternateContent xmlns:mc="http://schemas.openxmlformats.org/markup-compatibility/2006">
    <mc:Choice Requires="x15">
      <x15ac:absPath xmlns:x15ac="http://schemas.microsoft.com/office/spreadsheetml/2010/11/ac" url="https://d.docs.live.net/583454967128e953/Dumais Consulting/AES Corporation/AES Ohio/2024 Projection/Posted/"/>
    </mc:Choice>
  </mc:AlternateContent>
  <xr:revisionPtr revIDLastSave="1" documentId="8_{6A084D13-C6CB-4CD9-AFDB-186CA24F645F}" xr6:coauthVersionLast="47" xr6:coauthVersionMax="47" xr10:uidLastSave="{418EF696-8CC7-4D9F-82D9-B6184AA2FCBF}"/>
  <bookViews>
    <workbookView xWindow="-120" yWindow="-120" windowWidth="29040" windowHeight="1572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A'!$A$3:$H$315</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A'!$A$2:$H$306</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A'!$A$2:$H$306</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A'!$A$3:$H$309</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A'!$A$2:$H$306</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A'!$A$2:$H$306</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A'!$A$2:$H$306</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A'!$A$2:$H$306</definedName>
    <definedName name="Z_F96D6087_3330_4A81_95EC_26BA83722A49_.wvu.PrintArea" localSheetId="7" hidden="1">'3 - Revenue Credits'!$A$2:$D$38</definedName>
    <definedName name="Z_F96D6087_3330_4A81_95EC_26BA83722A49_.wvu.PrintArea" localSheetId="0" hidden="1">'Appendix A'!$A$2:$H$306</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A'!$A$2:$H$306</definedName>
    <definedName name="zero">#REF!</definedName>
  </definedNames>
  <calcPr calcId="191028" iterate="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47" l="1"/>
  <c r="E23" i="47" s="1"/>
  <c r="G21" i="47"/>
  <c r="S27" i="41" l="1"/>
  <c r="F27" i="41"/>
  <c r="S85" i="7" l="1"/>
  <c r="S83" i="7"/>
  <c r="F62" i="1"/>
  <c r="S84" i="7"/>
  <c r="F280" i="1"/>
  <c r="A36" i="47"/>
  <c r="A37" i="47" s="1"/>
  <c r="A38" i="47" s="1"/>
  <c r="A39" i="47" s="1"/>
  <c r="A35" i="47"/>
  <c r="A34" i="47"/>
  <c r="H153" i="1" l="1"/>
  <c r="H152" i="1"/>
  <c r="H149" i="1"/>
  <c r="S22" i="41" l="1"/>
  <c r="S23" i="41"/>
  <c r="S24" i="41"/>
  <c r="S25" i="41"/>
  <c r="A25" i="41"/>
  <c r="S143" i="7" l="1"/>
  <c r="S11" i="41"/>
  <c r="S12" i="41"/>
  <c r="S13" i="41"/>
  <c r="S14" i="41"/>
  <c r="S15" i="41"/>
  <c r="S16" i="41"/>
  <c r="S17" i="41"/>
  <c r="S18" i="41"/>
  <c r="S20" i="41"/>
  <c r="S21" i="41"/>
  <c r="F19" i="41" l="1"/>
  <c r="Q19" i="41" l="1"/>
  <c r="J19" i="41" l="1"/>
  <c r="H19" i="41"/>
  <c r="G19" i="41"/>
  <c r="I19" i="41"/>
  <c r="K19" i="41"/>
  <c r="L19" i="41"/>
  <c r="M19" i="41"/>
  <c r="N19" i="41"/>
  <c r="O19" i="41"/>
  <c r="P19" i="41"/>
  <c r="S19" i="41" l="1"/>
  <c r="M34" i="47" l="1"/>
  <c r="I23" i="48"/>
  <c r="C21" i="47"/>
  <c r="K37" i="47"/>
  <c r="I37" i="47"/>
  <c r="I90" i="47"/>
  <c r="I92" i="47" s="1"/>
  <c r="I95" i="47" s="1"/>
  <c r="I97" i="47" s="1"/>
  <c r="I86" i="47"/>
  <c r="G44" i="47"/>
  <c r="G45" i="47" s="1"/>
  <c r="G46" i="47" s="1"/>
  <c r="G47" i="47" s="1"/>
  <c r="G48" i="47" s="1"/>
  <c r="G49" i="47" s="1"/>
  <c r="G50" i="47" s="1"/>
  <c r="G51" i="47" s="1"/>
  <c r="G52" i="47" s="1"/>
  <c r="G53" i="47" s="1"/>
  <c r="G54" i="47" s="1"/>
  <c r="G55" i="47" s="1"/>
  <c r="G56" i="47" s="1"/>
  <c r="G57" i="47" s="1"/>
  <c r="G58" i="47" s="1"/>
  <c r="G59" i="47" s="1"/>
  <c r="G60" i="47" s="1"/>
  <c r="G61" i="47" s="1"/>
  <c r="G62" i="47" s="1"/>
  <c r="G63" i="47" s="1"/>
  <c r="G64" i="47" s="1"/>
  <c r="G65" i="47" s="1"/>
  <c r="G66" i="47" s="1"/>
  <c r="G67" i="47" s="1"/>
  <c r="G68" i="47" s="1"/>
  <c r="G69" i="47" s="1"/>
  <c r="G70" i="47" s="1"/>
  <c r="G71" i="47" s="1"/>
  <c r="G72" i="47" s="1"/>
  <c r="G73" i="47" s="1"/>
  <c r="G74" i="47" s="1"/>
  <c r="G75" i="47" s="1"/>
  <c r="G76" i="47" s="1"/>
  <c r="G77" i="47" s="1"/>
  <c r="G78" i="47" s="1"/>
  <c r="G79" i="47" s="1"/>
  <c r="G80" i="47" s="1"/>
  <c r="G81" i="47" s="1"/>
  <c r="G82" i="47" s="1"/>
  <c r="G83" i="47" s="1"/>
  <c r="G84" i="47" s="1"/>
  <c r="G85" i="47" s="1"/>
  <c r="G86" i="47" s="1"/>
  <c r="G87" i="47" s="1"/>
  <c r="G88" i="47" s="1"/>
  <c r="G89" i="47" s="1"/>
  <c r="G90" i="47" s="1"/>
  <c r="G91" i="47" s="1"/>
  <c r="G92" i="47" s="1"/>
  <c r="G93" i="47" s="1"/>
  <c r="G94" i="47" s="1"/>
  <c r="G95" i="47" s="1"/>
  <c r="G96" i="47" s="1"/>
  <c r="G97" i="47" s="1"/>
  <c r="G98" i="47" s="1"/>
  <c r="I87" i="47" l="1"/>
  <c r="I89" i="47" s="1"/>
  <c r="I91" i="47" s="1"/>
  <c r="I93" i="47" s="1"/>
  <c r="I94" i="47" s="1"/>
  <c r="I96" i="47" s="1"/>
  <c r="I98" i="47" s="1"/>
  <c r="I100" i="47"/>
  <c r="K36" i="47" s="1"/>
  <c r="K38" i="47" s="1"/>
  <c r="K39" i="47" s="1"/>
  <c r="I88" i="47"/>
  <c r="I99" i="47" l="1"/>
  <c r="I36" i="47" s="1"/>
  <c r="I38" i="47" s="1"/>
  <c r="M38" i="47" l="1"/>
  <c r="I39" i="47"/>
  <c r="C84" i="48"/>
  <c r="C86" i="48" s="1"/>
  <c r="C89" i="48" s="1"/>
  <c r="C91" i="48" s="1"/>
  <c r="C82" i="48"/>
  <c r="C80" i="48"/>
  <c r="C81" i="48" s="1"/>
  <c r="B83" i="48"/>
  <c r="B84" i="48"/>
  <c r="B85" i="48"/>
  <c r="B86" i="48"/>
  <c r="B87" i="48"/>
  <c r="B88" i="48" s="1"/>
  <c r="B89" i="48" s="1"/>
  <c r="B90" i="48" s="1"/>
  <c r="B91" i="48" s="1"/>
  <c r="B92" i="48" s="1"/>
  <c r="B74" i="48"/>
  <c r="B75" i="48"/>
  <c r="B76" i="48" s="1"/>
  <c r="B77" i="48" s="1"/>
  <c r="B78" i="48" s="1"/>
  <c r="B79" i="48" s="1"/>
  <c r="B80" i="48" s="1"/>
  <c r="B81" i="48" s="1"/>
  <c r="B82" i="48" s="1"/>
  <c r="B64" i="48"/>
  <c r="B65" i="48" s="1"/>
  <c r="B66" i="48" s="1"/>
  <c r="B67" i="48" s="1"/>
  <c r="B68" i="48" s="1"/>
  <c r="B69" i="48" s="1"/>
  <c r="B70" i="48" s="1"/>
  <c r="B71" i="48" s="1"/>
  <c r="B72" i="48" s="1"/>
  <c r="B73" i="48" s="1"/>
  <c r="B39" i="48"/>
  <c r="B40" i="48" s="1"/>
  <c r="B41" i="48" s="1"/>
  <c r="B42" i="48" s="1"/>
  <c r="B43" i="48" s="1"/>
  <c r="B44" i="48" s="1"/>
  <c r="B45" i="48" s="1"/>
  <c r="B46" i="48" s="1"/>
  <c r="B47" i="48" s="1"/>
  <c r="B48" i="48" s="1"/>
  <c r="B49" i="48" s="1"/>
  <c r="B50" i="48" s="1"/>
  <c r="B51" i="48" s="1"/>
  <c r="B52" i="48" s="1"/>
  <c r="B53" i="48" s="1"/>
  <c r="B54" i="48" s="1"/>
  <c r="B55" i="48" s="1"/>
  <c r="B56" i="48" s="1"/>
  <c r="B57" i="48" s="1"/>
  <c r="B58" i="48" s="1"/>
  <c r="B59" i="48" s="1"/>
  <c r="B60" i="48" s="1"/>
  <c r="B61" i="48" s="1"/>
  <c r="B62" i="48" s="1"/>
  <c r="B63" i="48" s="1"/>
  <c r="B38" i="48"/>
  <c r="H19" i="48"/>
  <c r="H23" i="48" s="1"/>
  <c r="E68" i="49"/>
  <c r="E70" i="49"/>
  <c r="E66" i="49"/>
  <c r="F279" i="1"/>
  <c r="E70" i="8"/>
  <c r="E72" i="8" s="1"/>
  <c r="E68" i="8"/>
  <c r="E66" i="8"/>
  <c r="E67" i="8" s="1"/>
  <c r="E69" i="8" s="1"/>
  <c r="E71" i="8" s="1"/>
  <c r="F282" i="1"/>
  <c r="F50" i="49"/>
  <c r="F51" i="49"/>
  <c r="F52" i="49"/>
  <c r="F53" i="49"/>
  <c r="F54" i="49"/>
  <c r="F55" i="49"/>
  <c r="F56" i="49"/>
  <c r="F57" i="49"/>
  <c r="F58" i="49"/>
  <c r="F59" i="49"/>
  <c r="F60" i="49"/>
  <c r="F61" i="49"/>
  <c r="F62" i="49"/>
  <c r="F63" i="49"/>
  <c r="F49" i="49"/>
  <c r="F50" i="8"/>
  <c r="F51" i="8"/>
  <c r="F52" i="8"/>
  <c r="F53" i="8"/>
  <c r="F54" i="8"/>
  <c r="F55" i="8"/>
  <c r="F56" i="8"/>
  <c r="F57" i="8"/>
  <c r="F58" i="8"/>
  <c r="F59" i="8"/>
  <c r="F60" i="8"/>
  <c r="F61" i="8"/>
  <c r="F62" i="8"/>
  <c r="F63" i="8"/>
  <c r="F49" i="8"/>
  <c r="F35" i="51"/>
  <c r="F33" i="51"/>
  <c r="F31" i="51"/>
  <c r="F29" i="51"/>
  <c r="F27" i="51"/>
  <c r="F25" i="51"/>
  <c r="F23" i="51"/>
  <c r="F21" i="51"/>
  <c r="F19" i="51"/>
  <c r="F17" i="51"/>
  <c r="F15" i="51"/>
  <c r="F13" i="51"/>
  <c r="F11" i="51"/>
  <c r="F9" i="51"/>
  <c r="C83" i="48" l="1"/>
  <c r="C85" i="48" s="1"/>
  <c r="C87" i="48" s="1"/>
  <c r="C88" i="48" s="1"/>
  <c r="C90" i="48" s="1"/>
  <c r="C92" i="48" s="1"/>
  <c r="C94" i="48"/>
  <c r="H25" i="48" s="1"/>
  <c r="H27" i="48" s="1"/>
  <c r="H29" i="48" s="1"/>
  <c r="C93" i="48"/>
  <c r="F25" i="48" s="1"/>
  <c r="I21" i="47"/>
  <c r="M39" i="47"/>
  <c r="H21" i="48"/>
  <c r="E67" i="49"/>
  <c r="E72" i="49"/>
  <c r="T12" i="7"/>
  <c r="T168" i="7"/>
  <c r="D88" i="2"/>
  <c r="C88" i="2"/>
  <c r="C85" i="2"/>
  <c r="E69" i="49" l="1"/>
  <c r="C79" i="14"/>
  <c r="C80" i="14"/>
  <c r="C81" i="14"/>
  <c r="C82" i="14"/>
  <c r="C83" i="14"/>
  <c r="C78" i="14"/>
  <c r="C77" i="14"/>
  <c r="C87" i="2"/>
  <c r="C86" i="2"/>
  <c r="C84" i="2"/>
  <c r="C83" i="2"/>
  <c r="E71" i="49" l="1"/>
  <c r="V29" i="40"/>
  <c r="I37" i="8" l="1"/>
  <c r="C60" i="14" l="1"/>
  <c r="C59" i="14"/>
  <c r="C63" i="2"/>
  <c r="C37" i="14"/>
  <c r="C36" i="14"/>
  <c r="C35" i="14"/>
  <c r="C34" i="14"/>
  <c r="C33" i="14"/>
  <c r="C32" i="14"/>
  <c r="C31" i="14"/>
  <c r="C30" i="14"/>
  <c r="C28" i="14"/>
  <c r="C27" i="14"/>
  <c r="C26" i="14"/>
  <c r="G26" i="14"/>
  <c r="C42" i="2"/>
  <c r="D42" i="2" s="1"/>
  <c r="C35" i="2"/>
  <c r="C33" i="2"/>
  <c r="C32" i="2"/>
  <c r="C31" i="2"/>
  <c r="D25" i="5" l="1"/>
  <c r="S16" i="45"/>
  <c r="S18" i="45"/>
  <c r="S14" i="45"/>
  <c r="S12" i="45"/>
  <c r="R143" i="7"/>
  <c r="T51" i="7"/>
  <c r="N35" i="51" l="1"/>
  <c r="N33" i="51"/>
  <c r="N31" i="51"/>
  <c r="N29" i="51"/>
  <c r="N27" i="51"/>
  <c r="N25" i="51"/>
  <c r="N23" i="51"/>
  <c r="N21" i="51"/>
  <c r="N19" i="51"/>
  <c r="N17" i="51"/>
  <c r="N15" i="51"/>
  <c r="N13" i="51"/>
  <c r="N11" i="51"/>
  <c r="N9" i="51"/>
  <c r="G33" i="40"/>
  <c r="G34" i="40"/>
  <c r="G35" i="40"/>
  <c r="G32" i="40"/>
  <c r="G28" i="40"/>
  <c r="G27" i="40"/>
  <c r="G13" i="40"/>
  <c r="G14" i="40"/>
  <c r="G15" i="40"/>
  <c r="G16" i="40"/>
  <c r="G17" i="40"/>
  <c r="G18" i="40"/>
  <c r="G19" i="40"/>
  <c r="G20" i="40"/>
  <c r="G21" i="40"/>
  <c r="G22" i="40"/>
  <c r="G23" i="40"/>
  <c r="G12" i="40"/>
  <c r="Q52" i="40"/>
  <c r="G57" i="40"/>
  <c r="G58" i="40"/>
  <c r="G59" i="40"/>
  <c r="G60" i="40"/>
  <c r="G61" i="40"/>
  <c r="G56" i="40"/>
  <c r="G47" i="40"/>
  <c r="G46" i="40"/>
  <c r="G52" i="40"/>
  <c r="G51" i="40"/>
  <c r="D93" i="43" l="1"/>
  <c r="G92" i="43"/>
  <c r="F91" i="43"/>
  <c r="D90" i="43"/>
  <c r="D89" i="43"/>
  <c r="F88" i="43"/>
  <c r="G33" i="43"/>
  <c r="F20" i="45" l="1"/>
  <c r="S133" i="7" l="1"/>
  <c r="T117" i="7"/>
  <c r="H138" i="1"/>
  <c r="H73" i="1" l="1"/>
  <c r="D37" i="14" l="1"/>
  <c r="G38" i="14"/>
  <c r="T230" i="7" l="1"/>
  <c r="T229" i="7"/>
  <c r="T222" i="7"/>
  <c r="T48" i="7"/>
  <c r="T49" i="7"/>
  <c r="T50" i="7"/>
  <c r="T47" i="7"/>
  <c r="D18" i="5" l="1"/>
  <c r="D26" i="5" l="1"/>
  <c r="T215" i="7"/>
  <c r="T213" i="7"/>
  <c r="T212" i="7"/>
  <c r="T214" i="7"/>
  <c r="T298" i="7" l="1"/>
  <c r="S70" i="7"/>
  <c r="A26" i="47" l="1"/>
  <c r="I17" i="2"/>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Y34" i="40" l="1"/>
  <c r="N16" i="40"/>
  <c r="P16" i="40" s="1"/>
  <c r="N57" i="40"/>
  <c r="E62" i="40"/>
  <c r="D62" i="40"/>
  <c r="U61" i="40"/>
  <c r="Y61" i="40"/>
  <c r="Q53" i="40"/>
  <c r="N18" i="40"/>
  <c r="P18" i="40" s="1"/>
  <c r="S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M14" i="40"/>
  <c r="L14" i="40"/>
  <c r="O14" i="40"/>
  <c r="N19" i="40"/>
  <c r="P19" i="40" s="1"/>
  <c r="I53" i="40"/>
  <c r="L51" i="40"/>
  <c r="G24" i="40"/>
  <c r="E24" i="40"/>
  <c r="S60" i="40"/>
  <c r="S58" i="40"/>
  <c r="N59" i="40"/>
  <c r="P59" i="40" s="1"/>
  <c r="L56" i="40"/>
  <c r="I62" i="40"/>
  <c r="O56" i="40"/>
  <c r="O62" i="40" s="1"/>
  <c r="O64" i="40" s="1"/>
  <c r="M56" i="40"/>
  <c r="M62" i="40" s="1"/>
  <c r="M64" i="40" s="1"/>
  <c r="N15" i="40"/>
  <c r="P15" i="40" s="1"/>
  <c r="P57" i="40"/>
  <c r="N17" i="40"/>
  <c r="P17" i="40" s="1"/>
  <c r="N20" i="40"/>
  <c r="P20" i="40" s="1"/>
  <c r="Y18" i="40" l="1"/>
  <c r="W18" i="40"/>
  <c r="U18" i="40"/>
  <c r="Q18" i="40"/>
  <c r="R18" i="40" s="1"/>
  <c r="T18" i="40" s="1"/>
  <c r="V18" i="40" s="1"/>
  <c r="X18" i="40" s="1"/>
  <c r="Z18" i="40" s="1"/>
  <c r="R52" i="40"/>
  <c r="T52" i="40" s="1"/>
  <c r="V52" i="40" s="1"/>
  <c r="X52" i="40" s="1"/>
  <c r="Z52" i="40" s="1"/>
  <c r="T23" i="40"/>
  <c r="V23" i="40" s="1"/>
  <c r="X23" i="40" s="1"/>
  <c r="Z23" i="40" s="1"/>
  <c r="W21" i="40"/>
  <c r="V61" i="40"/>
  <c r="X61" i="40" s="1"/>
  <c r="Z61" i="40" s="1"/>
  <c r="W60" i="40"/>
  <c r="I64" i="40"/>
  <c r="I66" i="40" s="1"/>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X60" i="40" s="1"/>
  <c r="Q58" i="40"/>
  <c r="R58" i="40" s="1"/>
  <c r="T58" i="40" s="1"/>
  <c r="V58" i="40" s="1"/>
  <c r="N14" i="40"/>
  <c r="P14" i="40" s="1"/>
  <c r="Q14" i="40" s="1"/>
  <c r="R14" i="40" s="1"/>
  <c r="S22" i="40"/>
  <c r="W22" i="40"/>
  <c r="Q22" i="40"/>
  <c r="R22" i="40" s="1"/>
  <c r="E38" i="40"/>
  <c r="Y22" i="40"/>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T17" i="40" l="1"/>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T59" i="40"/>
  <c r="V59" i="40" s="1"/>
  <c r="X59" i="40" s="1"/>
  <c r="Z59" i="40" s="1"/>
  <c r="O38" i="40"/>
  <c r="O70" i="40" s="1"/>
  <c r="P56" i="40"/>
  <c r="N62" i="40"/>
  <c r="T20" i="40"/>
  <c r="V20" i="40" s="1"/>
  <c r="X20" i="40" s="1"/>
  <c r="Z20" i="40" s="1"/>
  <c r="N12" i="40"/>
  <c r="L24" i="40"/>
  <c r="G40" i="40"/>
  <c r="G68"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N66" i="40"/>
  <c r="T56" i="40"/>
  <c r="R53" i="40"/>
  <c r="T51" i="40"/>
  <c r="Y12" i="40"/>
  <c r="Y24" i="40" s="1"/>
  <c r="U12" i="40"/>
  <c r="U24" i="40" s="1"/>
  <c r="Q12" i="40"/>
  <c r="Q24" i="40" s="1"/>
  <c r="P24" i="40"/>
  <c r="W12" i="40"/>
  <c r="W24" i="40" s="1"/>
  <c r="S12" i="40"/>
  <c r="S24" i="40" s="1"/>
  <c r="N38" i="40"/>
  <c r="P66" i="40" l="1"/>
  <c r="R64" i="40"/>
  <c r="N40" i="40"/>
  <c r="V32" i="40"/>
  <c r="T36" i="40"/>
  <c r="N68" i="40"/>
  <c r="Q38" i="40"/>
  <c r="Q70" i="40" s="1"/>
  <c r="V51" i="40"/>
  <c r="T53" i="40"/>
  <c r="U38" i="40"/>
  <c r="U70" i="40" s="1"/>
  <c r="R203" i="7" s="1"/>
  <c r="S38" i="40"/>
  <c r="S70" i="40" s="1"/>
  <c r="Y38" i="40"/>
  <c r="Y70" i="40" s="1"/>
  <c r="W38" i="40"/>
  <c r="W70" i="40" s="1"/>
  <c r="P38" i="40"/>
  <c r="P40" i="40" s="1"/>
  <c r="P68" i="40" s="1"/>
  <c r="R12" i="40"/>
  <c r="V56" i="40"/>
  <c r="T62" i="40"/>
  <c r="H235" i="1" l="1"/>
  <c r="R66" i="40"/>
  <c r="X32" i="40"/>
  <c r="V36" i="40"/>
  <c r="T64" i="40"/>
  <c r="Q203" i="7" s="1"/>
  <c r="X56" i="40"/>
  <c r="V62" i="40"/>
  <c r="R24" i="40"/>
  <c r="T12" i="40"/>
  <c r="V53" i="40"/>
  <c r="X51" i="40"/>
  <c r="X36" i="40" l="1"/>
  <c r="Z32" i="40"/>
  <c r="Z36" i="40" s="1"/>
  <c r="T66" i="40"/>
  <c r="V64" i="40"/>
  <c r="S203" i="7" s="1"/>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38" i="40"/>
  <c r="V40" i="40" s="1"/>
  <c r="V68" i="40" s="1"/>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F94" i="43"/>
  <c r="D94" i="43"/>
  <c r="H128" i="1"/>
  <c r="H99" i="1"/>
  <c r="E179" i="1"/>
  <c r="T138" i="7"/>
  <c r="H179" i="1" s="1"/>
  <c r="E124" i="1"/>
  <c r="E99" i="1"/>
  <c r="E254" i="1"/>
  <c r="E33" i="1"/>
  <c r="I18" i="43" l="1"/>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E106" i="1"/>
  <c r="E108" i="1"/>
  <c r="E110" i="1"/>
  <c r="E104" i="1"/>
  <c r="E98" i="1"/>
  <c r="E94" i="1"/>
  <c r="E76" i="1"/>
  <c r="E26" i="1"/>
  <c r="E23" i="1"/>
  <c r="H220" i="1" l="1"/>
  <c r="H221" i="1"/>
  <c r="G16" i="47" l="1"/>
  <c r="G44" i="2" l="1"/>
  <c r="E235" i="1" l="1"/>
  <c r="E153" i="1"/>
  <c r="E152" i="1"/>
  <c r="E150" i="1"/>
  <c r="E149" i="1"/>
  <c r="E135" i="1"/>
  <c r="E134" i="1"/>
  <c r="E128" i="1"/>
  <c r="E127" i="1"/>
  <c r="E126" i="1"/>
  <c r="G94" i="43"/>
  <c r="E94" i="43"/>
  <c r="C94" i="43"/>
  <c r="E84" i="14"/>
  <c r="G39" i="14"/>
  <c r="E39" i="14"/>
  <c r="D39" i="14"/>
  <c r="E44" i="2"/>
  <c r="H174" i="1"/>
  <c r="F162" i="1"/>
  <c r="T40" i="7" l="1"/>
  <c r="T17" i="7" l="1"/>
  <c r="H33" i="1" s="1"/>
  <c r="A14" i="45" l="1"/>
  <c r="A16" i="45" s="1"/>
  <c r="A18" i="45" s="1"/>
  <c r="A20" i="45" s="1"/>
  <c r="L27" i="41" l="1"/>
  <c r="G27" i="41"/>
  <c r="H27" i="41"/>
  <c r="I27" i="41"/>
  <c r="J27" i="41"/>
  <c r="K27" i="41"/>
  <c r="M27" i="41"/>
  <c r="N27" i="41"/>
  <c r="O27" i="41"/>
  <c r="P27" i="41"/>
  <c r="Q27" i="41"/>
  <c r="R27" i="41"/>
  <c r="J16" i="50" l="1"/>
  <c r="S10" i="41"/>
  <c r="T143" i="7" l="1"/>
  <c r="F84" i="14" l="1"/>
  <c r="D84" i="14"/>
  <c r="E25" i="4"/>
  <c r="E24" i="4"/>
  <c r="A10" i="50" l="1"/>
  <c r="J20" i="50"/>
  <c r="A12" i="50" l="1"/>
  <c r="A14" i="50" s="1"/>
  <c r="A16" i="50" s="1"/>
  <c r="F175" i="7"/>
  <c r="E283"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K192" i="7" l="1"/>
  <c r="K190" i="7"/>
  <c r="F74" i="49"/>
  <c r="J39" i="49" s="1"/>
  <c r="E74" i="49"/>
  <c r="I39" i="49" s="1"/>
  <c r="B3" i="49"/>
  <c r="B2" i="49"/>
  <c r="E282" i="1"/>
  <c r="F19" i="48" l="1"/>
  <c r="F23" i="48" s="1"/>
  <c r="A14" i="48"/>
  <c r="A16" i="48" l="1"/>
  <c r="F27" i="48"/>
  <c r="F21" i="48"/>
  <c r="F29" i="48" l="1"/>
  <c r="I29" i="48" s="1"/>
  <c r="H280" i="1" s="1"/>
  <c r="I27" i="48"/>
  <c r="A17" i="48"/>
  <c r="A19" i="48" s="1"/>
  <c r="Y16" i="47"/>
  <c r="W16" i="47"/>
  <c r="U16" i="47"/>
  <c r="S16" i="47"/>
  <c r="Q16" i="47"/>
  <c r="O16" i="47"/>
  <c r="M16" i="47"/>
  <c r="K16" i="47"/>
  <c r="I16" i="47"/>
  <c r="C19" i="48" l="1"/>
  <c r="A21" i="48"/>
  <c r="A23" i="48" s="1"/>
  <c r="A25" i="48" s="1"/>
  <c r="A26" i="48" s="1"/>
  <c r="A27" i="48" s="1"/>
  <c r="A29" i="48"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1"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1"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L15" i="44"/>
  <c r="E67" i="43" l="1"/>
  <c r="D13" i="43"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2" i="1"/>
  <c r="G15" i="4" l="1"/>
  <c r="D37" i="5" l="1"/>
  <c r="D33" i="5" s="1"/>
  <c r="T140" i="7" l="1"/>
  <c r="H181" i="1" s="1"/>
  <c r="T141" i="7"/>
  <c r="H182" i="1" s="1"/>
  <c r="E181" i="1"/>
  <c r="E182" i="1"/>
  <c r="E279"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E85" i="14"/>
  <c r="D85" i="14"/>
  <c r="C85" i="14"/>
  <c r="F85" i="14"/>
  <c r="F86" i="14"/>
  <c r="E38" i="14"/>
  <c r="E40" i="14" s="1"/>
  <c r="D38"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I39" i="8" s="1"/>
  <c r="I40" i="8" s="1"/>
  <c r="T203" i="7" l="1"/>
  <c r="H65" i="1" s="1"/>
  <c r="H68" i="1" l="1"/>
  <c r="A11" i="41"/>
  <c r="F2" i="41"/>
  <c r="F1" i="41"/>
  <c r="B3" i="8"/>
  <c r="B2" i="8"/>
  <c r="I3" i="40"/>
  <c r="B2" i="51" s="1"/>
  <c r="I2" i="40"/>
  <c r="B1" i="51" s="1"/>
  <c r="A2" i="7"/>
  <c r="B2" i="14"/>
  <c r="B52" i="14" s="1"/>
  <c r="B71" i="14" s="1"/>
  <c r="B55" i="2"/>
  <c r="B76" i="2" s="1"/>
  <c r="A12" i="41" l="1"/>
  <c r="A13" i="41" s="1"/>
  <c r="A14" i="41" s="1"/>
  <c r="A15" i="41" s="1"/>
  <c r="A16" i="41" s="1"/>
  <c r="A17" i="41" s="1"/>
  <c r="A18" i="41" s="1"/>
  <c r="A19" i="41" s="1"/>
  <c r="A20" i="41" s="1"/>
  <c r="B1" i="45"/>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A21" i="41" l="1"/>
  <c r="A22" i="41" s="1"/>
  <c r="A23" i="41" s="1"/>
  <c r="A24" i="41" s="1"/>
  <c r="A27" i="41" s="1"/>
  <c r="F68" i="1" s="1"/>
  <c r="D11" i="14"/>
  <c r="E11" i="14"/>
  <c r="F9" i="14"/>
  <c r="B1" i="14" l="1"/>
  <c r="A10" i="7"/>
  <c r="A11" i="7" s="1"/>
  <c r="F20" i="1" s="1"/>
  <c r="E174" i="1"/>
  <c r="E50" i="1"/>
  <c r="E48" i="1"/>
  <c r="E46" i="1"/>
  <c r="E20" i="1"/>
  <c r="H229" i="1"/>
  <c r="H213" i="1"/>
  <c r="A12" i="7" l="1"/>
  <c r="F49" i="1" s="1"/>
  <c r="B70" i="14"/>
  <c r="B51" i="14"/>
  <c r="H169" i="1"/>
  <c r="A13" i="7" l="1"/>
  <c r="A14" i="7" s="1"/>
  <c r="A17" i="7" s="1"/>
  <c r="F33" i="1" s="1"/>
  <c r="H10" i="1"/>
  <c r="H12" i="1"/>
  <c r="H13" i="1"/>
  <c r="A18" i="7" l="1"/>
  <c r="F35" i="1" s="1"/>
  <c r="T20" i="7"/>
  <c r="T19" i="7"/>
  <c r="H36" i="1" s="1"/>
  <c r="H273" i="1"/>
  <c r="T10" i="7"/>
  <c r="T13" i="7"/>
  <c r="T14" i="7"/>
  <c r="A19" i="7" l="1"/>
  <c r="F36" i="1" s="1"/>
  <c r="H49" i="1"/>
  <c r="E43" i="2"/>
  <c r="E45" i="2" s="1"/>
  <c r="D9" i="2" s="1"/>
  <c r="D44" i="2"/>
  <c r="A20" i="7" l="1"/>
  <c r="F37" i="1" s="1"/>
  <c r="E89" i="2"/>
  <c r="E92" i="2" s="1"/>
  <c r="A23" i="7" l="1"/>
  <c r="F46" i="1" s="1"/>
  <c r="D11" i="2"/>
  <c r="A24" i="7" l="1"/>
  <c r="F48" i="1" s="1"/>
  <c r="A25" i="7" l="1"/>
  <c r="F50" i="1" s="1"/>
  <c r="H258" i="1"/>
  <c r="H124" i="1"/>
  <c r="H37" i="1"/>
  <c r="H50" i="1"/>
  <c r="F89" i="2"/>
  <c r="F92" i="2" s="1"/>
  <c r="E11" i="2" s="1"/>
  <c r="H194" i="7"/>
  <c r="T139" i="7"/>
  <c r="H180" i="1" s="1"/>
  <c r="T142" i="7"/>
  <c r="H183" i="1" s="1"/>
  <c r="H191" i="1"/>
  <c r="T135" i="7"/>
  <c r="H173" i="1" s="1"/>
  <c r="T136" i="7"/>
  <c r="H175" i="1" s="1"/>
  <c r="H212" i="1"/>
  <c r="H283" i="1"/>
  <c r="D89" i="2"/>
  <c r="D92" i="2" s="1"/>
  <c r="B77" i="2"/>
  <c r="B75" i="2"/>
  <c r="B56" i="2"/>
  <c r="B54" i="2"/>
  <c r="E20" i="4"/>
  <c r="E41" i="4"/>
  <c r="I194" i="7"/>
  <c r="I195" i="7" s="1"/>
  <c r="E191" i="7"/>
  <c r="C175" i="7"/>
  <c r="C168" i="7"/>
  <c r="C153" i="7"/>
  <c r="A3" i="5"/>
  <c r="A2" i="5"/>
  <c r="A25" i="4"/>
  <c r="A26" i="4" s="1"/>
  <c r="A27" i="4" s="1"/>
  <c r="A3" i="4"/>
  <c r="A2" i="4"/>
  <c r="E287" i="1"/>
  <c r="C272" i="1"/>
  <c r="E258" i="1"/>
  <c r="C257" i="1"/>
  <c r="E201" i="1"/>
  <c r="E184" i="1"/>
  <c r="E183" i="1"/>
  <c r="E180" i="1"/>
  <c r="E178" i="1"/>
  <c r="E175" i="1"/>
  <c r="E173" i="1"/>
  <c r="E172" i="1"/>
  <c r="F155" i="1"/>
  <c r="F130" i="1"/>
  <c r="E73" i="1"/>
  <c r="E68" i="1"/>
  <c r="F52" i="1"/>
  <c r="C52" i="1"/>
  <c r="E49" i="1"/>
  <c r="F39" i="1"/>
  <c r="E37" i="1"/>
  <c r="E36" i="1"/>
  <c r="E35" i="1"/>
  <c r="E19" i="1"/>
  <c r="A19" i="1"/>
  <c r="A12" i="1"/>
  <c r="H215" i="1" l="1"/>
  <c r="H200" i="1"/>
  <c r="A29" i="4"/>
  <c r="H195" i="7"/>
  <c r="K195" i="7" s="1"/>
  <c r="H71" i="1" s="1"/>
  <c r="K194" i="7"/>
  <c r="A20" i="1"/>
  <c r="A21" i="1" s="1"/>
  <c r="A34" i="4"/>
  <c r="A35" i="4" s="1"/>
  <c r="A36" i="4" s="1"/>
  <c r="A37" i="4" s="1"/>
  <c r="A38" i="4" s="1"/>
  <c r="A39" i="4" s="1"/>
  <c r="A40" i="4" s="1"/>
  <c r="A41" i="4" s="1"/>
  <c r="A43" i="4" s="1"/>
  <c r="A45" i="4" s="1"/>
  <c r="A47" i="4" s="1"/>
  <c r="A13" i="1"/>
  <c r="F14" i="1" s="1"/>
  <c r="H129" i="1"/>
  <c r="H136" i="1"/>
  <c r="H257" i="1"/>
  <c r="H14" i="1"/>
  <c r="C92" i="2"/>
  <c r="H217" i="1" l="1"/>
  <c r="H230" i="1"/>
  <c r="I17" i="46"/>
  <c r="H231" i="1"/>
  <c r="M17" i="46"/>
  <c r="Y17" i="46"/>
  <c r="F21" i="1"/>
  <c r="H184" i="1"/>
  <c r="A14" i="1"/>
  <c r="F16" i="1" s="1"/>
  <c r="H16" i="1"/>
  <c r="H259" i="1"/>
  <c r="H216" i="1"/>
  <c r="O17" i="46" l="1"/>
  <c r="H225" i="1"/>
  <c r="K17" i="46"/>
  <c r="U17" i="46"/>
  <c r="H236" i="1"/>
  <c r="W17" i="46"/>
  <c r="S17" i="46"/>
  <c r="G17" i="46"/>
  <c r="Q17" i="46"/>
  <c r="H232"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2" i="1"/>
  <c r="J44" i="44"/>
  <c r="L44" i="44" s="1"/>
  <c r="J42" i="44"/>
  <c r="L42" i="44" s="1"/>
  <c r="J40" i="44"/>
  <c r="L40" i="44" s="1"/>
  <c r="J38" i="44"/>
  <c r="L38" i="44" s="1"/>
  <c r="J36" i="44"/>
  <c r="L36" i="44" s="1"/>
  <c r="J34" i="44"/>
  <c r="J43" i="44"/>
  <c r="L43" i="44" s="1"/>
  <c r="J37" i="44"/>
  <c r="L37" i="44" s="1"/>
  <c r="J45" i="44"/>
  <c r="L45" i="44" s="1"/>
  <c r="J41" i="44"/>
  <c r="L41" i="44" s="1"/>
  <c r="J39" i="44"/>
  <c r="L39" i="44" s="1"/>
  <c r="J35" i="44"/>
  <c r="L35" i="44" s="1"/>
  <c r="F13" i="2"/>
  <c r="F16" i="43"/>
  <c r="F18" i="43" s="1"/>
  <c r="G64" i="2"/>
  <c r="F10" i="2" s="1"/>
  <c r="F13" i="14"/>
  <c r="H101" i="1"/>
  <c r="H155" i="1"/>
  <c r="H52" i="1"/>
  <c r="H82" i="1"/>
  <c r="F27" i="4"/>
  <c r="H39" i="1"/>
  <c r="H130" i="1"/>
  <c r="H260" i="1"/>
  <c r="H237" i="1" l="1"/>
  <c r="L34" i="44"/>
  <c r="V34" i="44"/>
  <c r="W36" i="44" s="1"/>
  <c r="H102" i="1"/>
  <c r="H223" i="1"/>
  <c r="H78" i="1"/>
  <c r="R24" i="42"/>
  <c r="F18" i="2" s="1"/>
  <c r="H131" i="1"/>
  <c r="H83" i="1"/>
  <c r="Q15" i="44" l="1"/>
  <c r="J16" i="44"/>
  <c r="J17" i="44" s="1"/>
  <c r="J18" i="44" s="1"/>
  <c r="J19" i="44" s="1"/>
  <c r="J20" i="44" s="1"/>
  <c r="J21" i="44" s="1"/>
  <c r="J22" i="44" s="1"/>
  <c r="J23" i="44" s="1"/>
  <c r="J24" i="44" s="1"/>
  <c r="J25" i="44" s="1"/>
  <c r="J26" i="44" s="1"/>
  <c r="J27" i="44" s="1"/>
  <c r="H224" i="1"/>
  <c r="H86" i="1"/>
  <c r="A23" i="1"/>
  <c r="F24" i="1" s="1"/>
  <c r="H226" i="1" l="1"/>
  <c r="A24" i="1"/>
  <c r="A26" i="1" s="1"/>
  <c r="F64" i="2" l="1"/>
  <c r="E10" i="2" s="1"/>
  <c r="A27" i="1"/>
  <c r="A33" i="1" s="1"/>
  <c r="F27" i="1"/>
  <c r="I17" i="43" l="1"/>
  <c r="I14" i="2"/>
  <c r="I14" i="14"/>
  <c r="F95" i="1"/>
  <c r="F139" i="1"/>
  <c r="A35" i="1" l="1"/>
  <c r="A36" i="1" s="1"/>
  <c r="A37" i="1" s="1"/>
  <c r="F38" i="1" s="1"/>
  <c r="F257"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4" i="1"/>
  <c r="F26" i="1"/>
  <c r="A59" i="7" l="1"/>
  <c r="F76" i="1"/>
  <c r="F81" i="1"/>
  <c r="A65" i="1"/>
  <c r="A68" i="1" s="1"/>
  <c r="A71" i="1" l="1"/>
  <c r="A73" i="1" s="1"/>
  <c r="A76" i="1" s="1"/>
  <c r="F273"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5" i="1"/>
  <c r="F114" i="1"/>
  <c r="A119" i="1"/>
  <c r="F246"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8" i="1" s="1"/>
  <c r="F144" i="1"/>
  <c r="F89" i="1" l="1"/>
  <c r="A149" i="1"/>
  <c r="A150" i="1" s="1"/>
  <c r="A152" i="1" s="1"/>
  <c r="A153" i="1" s="1"/>
  <c r="A154" i="1" s="1"/>
  <c r="A155" i="1" s="1"/>
  <c r="A156" i="1" s="1"/>
  <c r="F158" i="1" s="1"/>
  <c r="F156" i="1" l="1"/>
  <c r="F154" i="1"/>
  <c r="A158" i="1"/>
  <c r="A162" i="1" s="1"/>
  <c r="F249" i="1" l="1"/>
  <c r="A164" i="1"/>
  <c r="F164" i="1"/>
  <c r="A167" i="1" l="1"/>
  <c r="F250" i="1"/>
  <c r="A169" i="1" l="1"/>
  <c r="A172" i="1" l="1"/>
  <c r="A173" i="1" l="1"/>
  <c r="A174" i="1" l="1"/>
  <c r="F191" i="1" s="1"/>
  <c r="A175" i="1" l="1"/>
  <c r="F176" i="1" l="1"/>
  <c r="A176" i="1"/>
  <c r="F192" i="1" s="1"/>
  <c r="A178" i="1" l="1"/>
  <c r="F190" i="1" s="1"/>
  <c r="A180" i="1" l="1"/>
  <c r="A181" i="1" s="1"/>
  <c r="A182" i="1" s="1"/>
  <c r="A183" i="1" s="1"/>
  <c r="A184" i="1" s="1"/>
  <c r="A185" i="1" s="1"/>
  <c r="A186" i="1" s="1"/>
  <c r="A187" i="1" s="1"/>
  <c r="A190" i="1" s="1"/>
  <c r="A191" i="1" l="1"/>
  <c r="F187" i="1"/>
  <c r="F199" i="1"/>
  <c r="A192" i="1" l="1"/>
  <c r="F193" i="1" s="1"/>
  <c r="F200" i="1"/>
  <c r="A193" i="1" l="1"/>
  <c r="F197" i="1" l="1"/>
  <c r="F195" i="1"/>
  <c r="A195" i="1"/>
  <c r="F196" i="1"/>
  <c r="A196" i="1" l="1"/>
  <c r="A197" i="1" l="1"/>
  <c r="C16" i="46" l="1"/>
  <c r="A199" i="1"/>
  <c r="A200" i="1" l="1"/>
  <c r="F203" i="1"/>
  <c r="A201" i="1" l="1"/>
  <c r="F204" i="1"/>
  <c r="A203" i="1" l="1"/>
  <c r="F205" i="1"/>
  <c r="A204" i="1" l="1"/>
  <c r="A205" i="1" l="1"/>
  <c r="A206" i="1" s="1"/>
  <c r="A208" i="1" l="1"/>
  <c r="A211" i="1" s="1"/>
  <c r="A212" i="1" s="1"/>
  <c r="A213" i="1" s="1"/>
  <c r="A214" i="1" s="1"/>
  <c r="F206" i="1"/>
  <c r="F208" i="1"/>
  <c r="F251" i="1" l="1"/>
  <c r="A215" i="1"/>
  <c r="A216" i="1" l="1"/>
  <c r="F238" i="1" s="1"/>
  <c r="A217" i="1" l="1"/>
  <c r="C17" i="46" l="1"/>
  <c r="F231" i="1"/>
  <c r="A220" i="1"/>
  <c r="A221" i="1" s="1"/>
  <c r="A222" i="1" s="1"/>
  <c r="A223" i="1" s="1"/>
  <c r="F225" i="1"/>
  <c r="F236" i="1" s="1"/>
  <c r="A224" i="1" l="1"/>
  <c r="F224" i="1"/>
  <c r="F223" i="1"/>
  <c r="A225" i="1" l="1"/>
  <c r="F226" i="1" s="1"/>
  <c r="A226" i="1" l="1"/>
  <c r="A229" i="1" s="1"/>
  <c r="F230" i="1" s="1"/>
  <c r="A230" i="1" l="1"/>
  <c r="A231" i="1" l="1"/>
  <c r="A232" i="1" l="1"/>
  <c r="A235" i="1" s="1"/>
  <c r="F232" i="1"/>
  <c r="A236" i="1" l="1"/>
  <c r="A237" i="1" s="1"/>
  <c r="A238" i="1" s="1"/>
  <c r="F237" i="1" l="1"/>
  <c r="F239" i="1"/>
  <c r="A239" i="1"/>
  <c r="A244" i="1" l="1"/>
  <c r="A245" i="1" s="1"/>
  <c r="A246" i="1" s="1"/>
  <c r="A248" i="1" s="1"/>
  <c r="F252" i="1"/>
  <c r="A249" i="1" l="1"/>
  <c r="A250" i="1" s="1"/>
  <c r="A251" i="1" s="1"/>
  <c r="A252" i="1" s="1"/>
  <c r="A254" i="1" s="1"/>
  <c r="F254" i="1" l="1"/>
  <c r="F272" i="1"/>
  <c r="A257" i="1"/>
  <c r="F261" i="1"/>
  <c r="A258" i="1" l="1"/>
  <c r="A259" i="1" s="1"/>
  <c r="F259" i="1" l="1"/>
  <c r="F260" i="1"/>
  <c r="A260" i="1"/>
  <c r="A261" i="1" s="1"/>
  <c r="F262" i="1" l="1"/>
  <c r="A262" i="1"/>
  <c r="A265" i="1" l="1"/>
  <c r="A267" i="1" s="1"/>
  <c r="F267" i="1" l="1"/>
  <c r="A272" i="1"/>
  <c r="F278" i="1"/>
  <c r="A273" i="1" l="1"/>
  <c r="A274" i="1" s="1"/>
  <c r="A275" i="1" s="1"/>
  <c r="A276" i="1" s="1"/>
  <c r="A278" i="1" s="1"/>
  <c r="F275" i="1" l="1"/>
  <c r="C14" i="47"/>
  <c r="F274" i="1"/>
  <c r="F276" i="1"/>
  <c r="A279" i="1"/>
  <c r="A280" i="1" l="1"/>
  <c r="A281" i="1" s="1"/>
  <c r="A282" i="1" l="1"/>
  <c r="A283" i="1" s="1"/>
  <c r="A284" i="1" s="1"/>
  <c r="A287" i="1" s="1"/>
  <c r="A288" i="1" s="1"/>
  <c r="F284" i="1" l="1"/>
  <c r="F288" i="1"/>
  <c r="F290" i="1"/>
  <c r="A290" i="1"/>
  <c r="A291" i="1" l="1"/>
  <c r="A292" i="1" s="1"/>
  <c r="A293" i="1" s="1"/>
  <c r="A294" i="1" s="1"/>
  <c r="F292" i="1"/>
  <c r="F291" i="1"/>
  <c r="F293" i="1" l="1"/>
  <c r="F294" i="1"/>
  <c r="A23" i="5" l="1"/>
  <c r="A24" i="5" s="1"/>
  <c r="A25" i="5" s="1"/>
  <c r="A29" i="5" l="1"/>
  <c r="A30" i="5" s="1"/>
  <c r="C31" i="5" s="1"/>
  <c r="C36" i="5"/>
  <c r="A31" i="5" l="1"/>
  <c r="A33" i="5" l="1"/>
  <c r="A34" i="5" s="1"/>
  <c r="A134" i="7"/>
  <c r="F172" i="1" s="1"/>
  <c r="C34" i="5" l="1"/>
  <c r="A36" i="5"/>
  <c r="C37" i="5" s="1"/>
  <c r="F265"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2" i="1" s="1"/>
  <c r="A154" i="7" l="1"/>
  <c r="F213" i="1" s="1"/>
  <c r="A160" i="7" l="1"/>
  <c r="F221" i="1" s="1"/>
  <c r="A161" i="7" l="1"/>
  <c r="F220" i="1" s="1"/>
  <c r="A162" i="7" l="1"/>
  <c r="F229" i="1" l="1"/>
  <c r="A168" i="7"/>
  <c r="F258" i="1" l="1"/>
  <c r="A175" i="7"/>
  <c r="F283" i="1" s="1"/>
  <c r="A183" i="7" l="1"/>
  <c r="F287" i="1" s="1"/>
  <c r="A190" i="7" l="1"/>
  <c r="A191" i="7" l="1"/>
  <c r="A192" i="7" s="1"/>
  <c r="F150" i="1" s="1"/>
  <c r="A194" i="7" l="1"/>
  <c r="A195" i="7" s="1"/>
  <c r="F71" i="1" s="1"/>
  <c r="E194" i="7"/>
  <c r="E192" i="7"/>
  <c r="A203" i="7" l="1"/>
  <c r="F235"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E27" i="4" l="1"/>
  <c r="E29" i="4" l="1"/>
  <c r="E43" i="4" s="1"/>
  <c r="E47" i="4" s="1"/>
  <c r="G27" i="4"/>
  <c r="T18" i="7" l="1"/>
  <c r="H35" i="1" s="1"/>
  <c r="H38" i="1" l="1"/>
  <c r="H154" i="1"/>
  <c r="T24" i="7"/>
  <c r="H48" i="1" s="1"/>
  <c r="H51" i="1" l="1"/>
  <c r="H156" i="1"/>
  <c r="H40" i="1"/>
  <c r="H158" i="1" l="1"/>
  <c r="H42" i="1"/>
  <c r="H53" i="1"/>
  <c r="T9" i="7"/>
  <c r="H19" i="1" s="1"/>
  <c r="H23" i="1" l="1"/>
  <c r="H55" i="1"/>
  <c r="H249" i="1"/>
  <c r="T11" i="7"/>
  <c r="H20" i="1" s="1"/>
  <c r="H24" i="1" l="1"/>
  <c r="H21" i="1"/>
  <c r="H57" i="1"/>
  <c r="W10" i="45" l="1"/>
  <c r="H26" i="1"/>
  <c r="H244" i="1"/>
  <c r="H27" i="1" l="1"/>
  <c r="F34" i="44" l="1"/>
  <c r="G34" i="44" s="1"/>
  <c r="N34" i="44" s="1"/>
  <c r="L15" i="42"/>
  <c r="M15" i="42" s="1"/>
  <c r="N15" i="42" s="1"/>
  <c r="L14" i="42"/>
  <c r="M14" i="42" s="1"/>
  <c r="N14" i="42" s="1"/>
  <c r="L22" i="42"/>
  <c r="M22" i="42" s="1"/>
  <c r="N22" i="42" s="1"/>
  <c r="F43" i="44"/>
  <c r="G43" i="44" s="1"/>
  <c r="F38" i="44"/>
  <c r="G38" i="44" s="1"/>
  <c r="E14" i="2"/>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L16" i="42"/>
  <c r="M16" i="42" s="1"/>
  <c r="N16" i="42" s="1"/>
  <c r="F39" i="44"/>
  <c r="G39" i="44" s="1"/>
  <c r="H139" i="1"/>
  <c r="L20" i="42"/>
  <c r="M20" i="42" s="1"/>
  <c r="N20" i="42" s="1"/>
  <c r="F42" i="44"/>
  <c r="G42" i="44" s="1"/>
  <c r="L13" i="42"/>
  <c r="M13" i="42" s="1"/>
  <c r="N13" i="42" s="1"/>
  <c r="F45" i="44"/>
  <c r="G45" i="44" s="1"/>
  <c r="F40" i="44"/>
  <c r="G40" i="44" s="1"/>
  <c r="T137" i="7"/>
  <c r="H178" i="1" s="1"/>
  <c r="H96" i="1" l="1"/>
  <c r="H18" i="42"/>
  <c r="S18" i="42"/>
  <c r="S14" i="42"/>
  <c r="H14" i="42"/>
  <c r="H20" i="42"/>
  <c r="S20" i="42"/>
  <c r="H190"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50" i="1"/>
  <c r="H199" i="1"/>
  <c r="N36" i="44"/>
  <c r="L18" i="44" s="1"/>
  <c r="N45" i="44"/>
  <c r="L27" i="44" s="1"/>
  <c r="L16" i="44"/>
  <c r="N35" i="44"/>
  <c r="L17" i="44" s="1"/>
  <c r="N37" i="44"/>
  <c r="L19" i="44" s="1"/>
  <c r="N39" i="44"/>
  <c r="L21" i="44" s="1"/>
  <c r="N42" i="44"/>
  <c r="L24" i="44" s="1"/>
  <c r="N40" i="44"/>
  <c r="L22" i="44" s="1"/>
  <c r="N44" i="44"/>
  <c r="L26" i="44" s="1"/>
  <c r="N38" i="44"/>
  <c r="L20" i="44" s="1"/>
  <c r="N41" i="44"/>
  <c r="L23" i="44" s="1"/>
  <c r="N43" i="44"/>
  <c r="L25" i="44" s="1"/>
  <c r="L28" i="44" l="1"/>
  <c r="P16" i="44"/>
  <c r="M16" i="44"/>
  <c r="O16" i="44" s="1"/>
  <c r="M26" i="44"/>
  <c r="O26" i="44" s="1"/>
  <c r="P26" i="44"/>
  <c r="P17" i="44"/>
  <c r="M17" i="44"/>
  <c r="O17"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16" i="44" l="1"/>
  <c r="Q16" i="44" s="1"/>
  <c r="N26" i="44"/>
  <c r="N27" i="44"/>
  <c r="O23" i="44"/>
  <c r="N17" i="44"/>
  <c r="O21" i="44"/>
  <c r="N19" i="44"/>
  <c r="P28" i="44"/>
  <c r="O18" i="44"/>
  <c r="O25" i="44"/>
  <c r="O20" i="44"/>
  <c r="N24" i="44"/>
  <c r="N22" i="44"/>
  <c r="M28" i="44"/>
  <c r="Q17" i="44" l="1"/>
  <c r="Q18" i="44" s="1"/>
  <c r="N28" i="44"/>
  <c r="O28" i="44"/>
  <c r="Q19" i="44" l="1"/>
  <c r="Q20" i="44" s="1"/>
  <c r="Q21" i="44" s="1"/>
  <c r="Q22" i="44" s="1"/>
  <c r="Q23" i="44" s="1"/>
  <c r="Q24" i="44" s="1"/>
  <c r="Q25" i="44" s="1"/>
  <c r="Q26" i="44" s="1"/>
  <c r="H119" i="1"/>
  <c r="Q27" i="44" l="1"/>
  <c r="H120" i="1"/>
  <c r="C62" i="2" l="1"/>
  <c r="C64" i="2" s="1"/>
  <c r="H121" i="1"/>
  <c r="H144" i="1" l="1"/>
  <c r="T134" i="7"/>
  <c r="H172" i="1" s="1"/>
  <c r="H176" i="1" l="1"/>
  <c r="H248" i="1"/>
  <c r="H89" i="1"/>
  <c r="H91" i="1" l="1"/>
  <c r="H192" i="1"/>
  <c r="H193" i="1" l="1"/>
  <c r="H197" i="1" l="1"/>
  <c r="H195" i="1"/>
  <c r="H196" i="1"/>
  <c r="M16" i="46"/>
  <c r="M18" i="46" s="1"/>
  <c r="E64" i="2"/>
  <c r="D10" i="2" s="1"/>
  <c r="D12" i="2" s="1"/>
  <c r="D15" i="2" s="1"/>
  <c r="O16" i="46" l="1"/>
  <c r="O18" i="46" s="1"/>
  <c r="K16" i="46"/>
  <c r="K18" i="46" s="1"/>
  <c r="U16" i="46"/>
  <c r="U18" i="46" s="1"/>
  <c r="H205" i="1"/>
  <c r="I16" i="46"/>
  <c r="I18" i="46" s="1"/>
  <c r="W16" i="46"/>
  <c r="W18" i="46" s="1"/>
  <c r="Q16" i="46"/>
  <c r="Q18" i="46" s="1"/>
  <c r="S16" i="46"/>
  <c r="S18" i="46" s="1"/>
  <c r="Y16" i="46"/>
  <c r="Y18" i="46" s="1"/>
  <c r="G16" i="46"/>
  <c r="G18" i="46" s="1"/>
  <c r="H203" i="1"/>
  <c r="H204" i="1"/>
  <c r="E18" i="46" l="1"/>
  <c r="H281" i="1" s="1"/>
  <c r="H206" i="1"/>
  <c r="D34" i="5" l="1"/>
  <c r="H265" i="1" s="1"/>
  <c r="J12" i="42" l="1"/>
  <c r="J24" i="42" s="1"/>
  <c r="I24" i="42"/>
  <c r="H24" i="42" l="1"/>
  <c r="D18" i="2"/>
  <c r="S24" i="42"/>
  <c r="H18" i="2" s="1"/>
  <c r="H12" i="42"/>
  <c r="S12" i="42"/>
  <c r="C61" i="14" l="1"/>
  <c r="E61" i="14"/>
  <c r="D10" i="14" s="1"/>
  <c r="D12" i="14" s="1"/>
  <c r="D15" i="14" s="1"/>
  <c r="D16" i="2" l="1"/>
  <c r="D17" i="2" s="1"/>
  <c r="D20" i="43" l="1"/>
  <c r="D19" i="2" l="1"/>
  <c r="C34" i="2" l="1"/>
  <c r="F44" i="2"/>
  <c r="C44" i="2" s="1"/>
  <c r="C36" i="2"/>
  <c r="C37" i="2"/>
  <c r="G43" i="2"/>
  <c r="G45" i="2" s="1"/>
  <c r="F9" i="2" s="1"/>
  <c r="F12" i="2" s="1"/>
  <c r="F15" i="2" s="1"/>
  <c r="C38" i="2"/>
  <c r="C39" i="2"/>
  <c r="F43" i="2"/>
  <c r="F45" i="2" s="1"/>
  <c r="E9" i="2" s="1"/>
  <c r="E12" i="2" s="1"/>
  <c r="E15" i="2" s="1"/>
  <c r="H15" i="2" l="1"/>
  <c r="C40" i="2" l="1"/>
  <c r="C41" i="2"/>
  <c r="D43" i="2"/>
  <c r="D45" i="2" s="1"/>
  <c r="C45" i="2"/>
  <c r="F38" i="14"/>
  <c r="F40" i="14" s="1"/>
  <c r="E9" i="14" s="1"/>
  <c r="E12" i="14" s="1"/>
  <c r="E15" i="14" s="1"/>
  <c r="C29" i="14"/>
  <c r="C40" i="14" s="1"/>
  <c r="F39" i="14"/>
  <c r="C39" i="14" s="1"/>
  <c r="E16" i="2" l="1"/>
  <c r="E17" i="2" l="1"/>
  <c r="E20" i="43"/>
  <c r="E19" i="2" l="1"/>
  <c r="C84" i="14" l="1"/>
  <c r="C87" i="14" s="1"/>
  <c r="G84" i="14"/>
  <c r="G87" i="14" s="1"/>
  <c r="F11" i="14" s="1"/>
  <c r="F12" i="14" s="1"/>
  <c r="F15" i="14" s="1"/>
  <c r="F16" i="2" l="1"/>
  <c r="H15" i="14"/>
  <c r="F20" i="43" l="1"/>
  <c r="H20" i="43" s="1"/>
  <c r="H22" i="43" s="1"/>
  <c r="H19" i="43"/>
  <c r="H16" i="2"/>
  <c r="F17" i="2"/>
  <c r="H17" i="2" l="1"/>
  <c r="H19" i="2" s="1"/>
  <c r="H62" i="1" s="1"/>
  <c r="F19" i="2"/>
  <c r="H112" i="1" l="1"/>
  <c r="H114" i="1" l="1"/>
  <c r="H245" i="1"/>
  <c r="H238" i="1"/>
  <c r="H208" i="1"/>
  <c r="H246" i="1" l="1"/>
  <c r="H251" i="1"/>
  <c r="H239" i="1"/>
  <c r="H252" i="1" l="1"/>
  <c r="H254" i="1" l="1"/>
  <c r="H261" i="1" l="1"/>
  <c r="H272" i="1"/>
  <c r="H262" i="1" l="1"/>
  <c r="H274" i="1"/>
  <c r="H275" i="1"/>
  <c r="H276" i="1"/>
  <c r="H267" i="1" l="1"/>
  <c r="I14" i="47"/>
  <c r="I15" i="47" s="1"/>
  <c r="I19" i="47" s="1"/>
  <c r="M14" i="47"/>
  <c r="M15" i="47" s="1"/>
  <c r="M19" i="47" s="1"/>
  <c r="O14" i="47"/>
  <c r="O15" i="47" s="1"/>
  <c r="O19" i="47" s="1"/>
  <c r="S14" i="47"/>
  <c r="S15" i="47" s="1"/>
  <c r="S19" i="47" s="1"/>
  <c r="Q14" i="47"/>
  <c r="Q15" i="47" s="1"/>
  <c r="Q19" i="47" s="1"/>
  <c r="W14" i="47"/>
  <c r="W15" i="47" s="1"/>
  <c r="W19" i="47" s="1"/>
  <c r="G14" i="47"/>
  <c r="G15" i="47" s="1"/>
  <c r="G19" i="47" s="1"/>
  <c r="K14" i="47"/>
  <c r="K15" i="47" s="1"/>
  <c r="K19" i="47" s="1"/>
  <c r="U14" i="47"/>
  <c r="U15" i="47" s="1"/>
  <c r="U19" i="47" s="1"/>
  <c r="Y14" i="47"/>
  <c r="Y15" i="47" s="1"/>
  <c r="Y19" i="47" s="1"/>
  <c r="I38" i="49" l="1"/>
  <c r="E19" i="47"/>
  <c r="H282" i="1"/>
  <c r="H278" i="1"/>
  <c r="I38" i="8" l="1"/>
  <c r="H279" i="1" s="1"/>
  <c r="H284" i="1" s="1"/>
  <c r="I40" i="49"/>
  <c r="J38" i="49"/>
  <c r="J40" i="49" s="1"/>
  <c r="K40" i="49" l="1"/>
  <c r="I41" i="49" s="1"/>
  <c r="H288" i="1"/>
  <c r="J38" i="8"/>
  <c r="J40" i="8" s="1"/>
  <c r="H290" i="1" l="1"/>
  <c r="H291" i="1" s="1"/>
  <c r="K40" i="8"/>
  <c r="I41" i="8" s="1"/>
  <c r="M21" i="47"/>
  <c r="M23" i="47" s="1"/>
  <c r="M28" i="47" s="1"/>
  <c r="G23" i="47"/>
  <c r="G28" i="47" s="1"/>
  <c r="Y21" i="47"/>
  <c r="Y23" i="47" s="1"/>
  <c r="Y28" i="47" s="1"/>
  <c r="K21" i="47"/>
  <c r="K23" i="47" s="1"/>
  <c r="K28" i="47" s="1"/>
  <c r="I23" i="47"/>
  <c r="I28" i="47" s="1"/>
  <c r="S21" i="47"/>
  <c r="S23" i="47" s="1"/>
  <c r="S28" i="47" s="1"/>
  <c r="O21" i="47"/>
  <c r="O23" i="47" s="1"/>
  <c r="O28" i="47" s="1"/>
  <c r="Q21" i="47"/>
  <c r="Q23" i="47" s="1"/>
  <c r="Q28" i="47" s="1"/>
  <c r="U21" i="47"/>
  <c r="U23" i="47" s="1"/>
  <c r="U28" i="47" s="1"/>
  <c r="W21" i="47"/>
  <c r="W23" i="47" s="1"/>
  <c r="W28" i="47" s="1"/>
  <c r="H292" i="1" l="1"/>
  <c r="H293" i="1" s="1"/>
  <c r="E28" i="47"/>
  <c r="H294" i="1" l="1"/>
</calcChain>
</file>

<file path=xl/sharedStrings.xml><?xml version="1.0" encoding="utf-8"?>
<sst xmlns="http://schemas.openxmlformats.org/spreadsheetml/2006/main" count="2167" uniqueCount="1039">
  <si>
    <t>Dayton Power and Light</t>
  </si>
  <si>
    <t xml:space="preserve">ATTACHMENT H-15A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</si>
  <si>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</si>
  <si>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</si>
  <si>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</si>
  <si>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</si>
  <si>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</si>
  <si>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</si>
  <si>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</si>
  <si>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</si>
  <si>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</si>
  <si>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</si>
  <si>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</si>
  <si>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</si>
  <si>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</si>
  <si>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</si>
  <si>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</si>
  <si>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</si>
  <si>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</si>
  <si>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</si>
  <si>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</si>
  <si>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</si>
  <si>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</si>
  <si>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</si>
  <si>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</si>
  <si>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</si>
  <si>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</si>
  <si>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</si>
  <si>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</si>
  <si>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</si>
  <si>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</si>
  <si>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</si>
  <si>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</si>
  <si>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</si>
  <si>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</si>
  <si>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</si>
  <si>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</si>
  <si>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</si>
  <si>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</si>
  <si>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</si>
  <si>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</si>
  <si>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</si>
  <si>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</si>
  <si>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</si>
  <si>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</si>
  <si>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</si>
  <si>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</si>
  <si>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</si>
  <si>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</si>
  <si>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</si>
  <si>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</si>
  <si>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</si>
  <si>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</si>
  <si>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</si>
  <si>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</si>
  <si>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</si>
  <si>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</si>
  <si>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</si>
  <si>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</si>
  <si>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</si>
  <si>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</si>
  <si>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</si>
  <si>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</si>
  <si>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</si>
  <si>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</si>
  <si>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</si>
  <si>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</si>
  <si>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</si>
  <si>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</si>
  <si>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</si>
  <si>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</si>
  <si>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</si>
  <si>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</si>
  <si>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</si>
  <si>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</si>
  <si>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</si>
  <si>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</si>
  <si>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</si>
  <si>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</si>
  <si>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</si>
  <si>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</si>
  <si>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</si>
  <si>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</si>
  <si>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</si>
  <si>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</si>
  <si>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</si>
  <si>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</si>
  <si>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</si>
  <si>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</si>
  <si>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</si>
  <si>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</si>
  <si>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</si>
  <si>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</si>
  <si>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</si>
  <si>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</si>
  <si>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</si>
  <si>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</si>
  <si>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</si>
  <si>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</si>
  <si>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</si>
  <si>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</si>
  <si>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</si>
  <si>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</si>
  <si>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</si>
  <si>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</si>
  <si>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</si>
  <si>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</si>
  <si>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</si>
  <si>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</si>
  <si>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</si>
  <si>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</si>
  <si>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</si>
  <si>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</si>
  <si>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</si>
  <si>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</si>
  <si>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</si>
  <si>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</si>
  <si>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</si>
  <si>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</si>
  <si>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</si>
  <si>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</si>
  <si>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</si>
  <si>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</si>
  <si>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</si>
  <si>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</si>
  <si>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</si>
  <si>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</si>
  <si>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</si>
  <si>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</si>
  <si>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</si>
  <si>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</si>
  <si>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</si>
  <si>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</si>
  <si>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</si>
  <si>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</si>
  <si>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</si>
  <si>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</si>
  <si>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</si>
  <si>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</si>
  <si>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</si>
  <si>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</si>
  <si>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</si>
  <si>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</si>
  <si>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</si>
  <si>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</si>
  <si>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</si>
  <si>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</si>
  <si>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</si>
  <si>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</si>
  <si>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</si>
  <si>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</si>
  <si>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</si>
  <si>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</si>
  <si>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</si>
  <si>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</si>
  <si>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</si>
  <si>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</si>
  <si>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</si>
  <si>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</si>
  <si>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</si>
  <si>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</si>
  <si>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</si>
  <si>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</si>
  <si>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</si>
  <si>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</si>
  <si>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</si>
  <si>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</si>
  <si>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</si>
  <si>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</si>
  <si>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</si>
  <si>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</si>
  <si>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</si>
  <si>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</si>
  <si>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</si>
  <si>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</si>
  <si>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</si>
  <si>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</si>
  <si>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</si>
  <si>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</si>
  <si>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</si>
  <si>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</si>
  <si>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</si>
  <si>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</si>
  <si>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</si>
  <si>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</si>
  <si>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</si>
  <si>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</si>
  <si>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</si>
  <si>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</si>
  <si>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</si>
  <si>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</si>
  <si>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</si>
  <si>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</si>
  <si>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</si>
  <si>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</si>
  <si>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</si>
  <si>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</si>
  <si>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</si>
  <si>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</si>
  <si>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</si>
  <si>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</si>
  <si>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</si>
  <si>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</si>
  <si>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</si>
  <si>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</si>
  <si>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</si>
  <si>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</si>
  <si>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</si>
  <si>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</si>
  <si>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</si>
  <si>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</si>
  <si>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</si>
  <si>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</si>
  <si>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</si>
  <si>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</si>
  <si>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</si>
  <si>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</si>
  <si>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</si>
  <si>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</si>
  <si>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</si>
  <si>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</si>
  <si>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</si>
  <si>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</si>
  <si>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</si>
  <si>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</si>
  <si>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</si>
  <si>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</si>
  <si>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</si>
  <si>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</si>
  <si>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</si>
  <si>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</si>
  <si>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</si>
  <si>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</si>
  <si>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</si>
  <si>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</si>
  <si>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</si>
  <si>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</si>
  <si>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</si>
  <si>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</si>
  <si>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</si>
  <si>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</si>
  <si>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</si>
  <si>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</si>
  <si>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</si>
  <si>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</si>
  <si>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</si>
  <si>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</si>
  <si>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</si>
  <si>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</si>
  <si>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</si>
  <si>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</si>
  <si>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</si>
  <si>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</si>
  <si>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</si>
  <si>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</si>
  <si>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</si>
  <si>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</si>
  <si>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</si>
  <si>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</si>
  <si>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</si>
  <si>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</si>
  <si>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</si>
  <si>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</si>
  <si>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</si>
  <si>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</si>
  <si>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</si>
  <si>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</si>
  <si>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</si>
  <si>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</si>
  <si>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</si>
  <si>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</si>
  <si>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</si>
  <si>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</si>
  <si>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</si>
  <si>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</si>
  <si>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</si>
  <si>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</si>
  <si>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</si>
  <si>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</si>
  <si>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</si>
  <si>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</si>
  <si>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</si>
  <si>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</si>
  <si>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</si>
  <si>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</si>
  <si>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</si>
  <si>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</si>
  <si>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</si>
  <si>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</si>
  <si>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</si>
  <si>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</si>
  <si>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</si>
  <si>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</si>
  <si>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</si>
  <si>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</si>
  <si>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</si>
  <si>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</si>
  <si>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</si>
  <si>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</si>
  <si>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</si>
  <si>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</si>
  <si>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</si>
  <si>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</si>
  <si>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</si>
  <si>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</si>
  <si>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</si>
  <si>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</si>
  <si>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</si>
  <si>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</si>
  <si>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</si>
  <si>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</si>
  <si>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</si>
  <si>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</si>
  <si>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</si>
  <si>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</si>
  <si>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</si>
  <si>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</si>
  <si>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</si>
  <si>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</si>
  <si>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</si>
  <si>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</si>
  <si>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</si>
  <si>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</si>
  <si>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</si>
  <si>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</si>
  <si>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</si>
  <si>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</si>
  <si>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</si>
  <si>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</si>
  <si>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</si>
  <si>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</si>
  <si>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</si>
  <si>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</si>
  <si>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</si>
  <si>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</si>
  <si>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</si>
  <si>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</si>
  <si>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</si>
  <si>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</si>
  <si>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</si>
  <si>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</si>
  <si>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</si>
  <si>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</si>
  <si>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</si>
  <si>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</si>
  <si>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</si>
  <si>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</si>
  <si>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</si>
  <si>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</si>
  <si>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</si>
  <si>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</si>
  <si>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</si>
  <si>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</si>
  <si>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</si>
  <si>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</si>
  <si>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</si>
  <si>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</si>
  <si>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</si>
  <si>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</si>
  <si>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</si>
  <si>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</si>
  <si>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</si>
  <si>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</si>
  <si>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</si>
  <si>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</si>
  <si>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</si>
  <si>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</si>
  <si>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</si>
  <si>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</si>
  <si>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</si>
  <si>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</si>
  <si>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</si>
  <si>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</si>
  <si>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</si>
  <si>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</si>
  <si>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</si>
  <si>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</si>
  <si>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</si>
  <si>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</si>
  <si>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</si>
  <si>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</si>
  <si>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</si>
  <si>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</si>
  <si>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</si>
  <si>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</si>
  <si>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</si>
  <si>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</si>
  <si>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</si>
  <si>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</si>
  <si>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</si>
  <si>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</si>
  <si>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</si>
  <si>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</si>
  <si>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</si>
  <si>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</si>
  <si>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</si>
  <si>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</si>
  <si>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</si>
  <si>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</si>
  <si>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</si>
  <si>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</si>
  <si>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</si>
  <si>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</si>
  <si>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</si>
  <si>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</si>
  <si>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</si>
  <si>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</si>
  <si>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</si>
  <si>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</si>
  <si>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</si>
  <si>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</si>
  <si>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</si>
  <si>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</si>
  <si>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</si>
  <si>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</si>
  <si>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</si>
  <si>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</si>
  <si>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</si>
  <si>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</si>
  <si>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</si>
  <si>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</si>
  <si>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</si>
  <si>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</si>
  <si>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</si>
  <si>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</si>
  <si>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</si>
  <si>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</si>
  <si>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</si>
  <si>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</si>
  <si>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</si>
  <si>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</si>
  <si>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</si>
  <si>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</si>
  <si>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</si>
  <si>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</si>
  <si>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</si>
  <si>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</si>
  <si>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</si>
  <si>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</si>
  <si>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</si>
  <si>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</si>
  <si>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</si>
  <si>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</si>
  <si>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</si>
  <si>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</si>
  <si>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</si>
  <si>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</si>
  <si>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</si>
  <si>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</si>
  <si>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</si>
  <si>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</si>
  <si>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</si>
  <si>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</si>
  <si>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</si>
  <si>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</si>
  <si>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Subtotal, Excluded</t>
  </si>
  <si>
    <t>Total, Included and Excluded (Line 11 + Line 19)</t>
  </si>
  <si>
    <t>Difference  (Line 20 - Line 21)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</si>
  <si>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</si>
  <si>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</si>
  <si>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</si>
  <si>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</si>
  <si>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</si>
  <si>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</si>
  <si>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</si>
  <si>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</si>
  <si>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</si>
  <si>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</si>
  <si>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</si>
  <si>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</si>
  <si>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</si>
  <si>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</si>
  <si>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</si>
  <si>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</si>
  <si>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</si>
  <si>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</si>
  <si>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</si>
  <si>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</si>
  <si>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</si>
  <si>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</si>
  <si>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</si>
  <si>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</si>
  <si>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</si>
  <si>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</si>
  <si>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</si>
  <si>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</si>
  <si>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</si>
  <si>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</si>
  <si>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</si>
  <si>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</si>
  <si>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</si>
  <si>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</si>
  <si>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</si>
  <si>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</si>
  <si>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</si>
  <si>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</si>
  <si>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</si>
  <si>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</si>
  <si>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</si>
  <si>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</si>
  <si>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</si>
  <si>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</si>
  <si>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</si>
  <si>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</si>
  <si>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</si>
  <si>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</si>
  <si>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</si>
  <si>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</si>
  <si>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</si>
  <si>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</si>
  <si>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</si>
  <si>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</si>
  <si>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</si>
  <si>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</si>
  <si>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</si>
  <si>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</si>
  <si>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</si>
  <si>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</si>
  <si>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</si>
  <si>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</si>
  <si>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</si>
  <si>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</si>
  <si>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</si>
  <si>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</si>
  <si>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</si>
  <si>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</si>
  <si>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</si>
  <si>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</si>
  <si>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</si>
  <si>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</si>
  <si>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</si>
  <si>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</si>
  <si>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</si>
  <si>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</si>
  <si>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</si>
  <si>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</si>
  <si>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</si>
  <si>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</si>
  <si>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</si>
  <si>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</si>
  <si>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</si>
  <si>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</si>
  <si>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</si>
  <si>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</si>
  <si>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</si>
  <si>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</si>
  <si>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</si>
  <si>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</si>
  <si>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</si>
  <si>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</si>
  <si>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</si>
  <si>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</si>
  <si>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</si>
  <si>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</si>
  <si>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</si>
  <si>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</si>
  <si>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</si>
  <si>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</si>
  <si>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</si>
  <si>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</si>
  <si>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</si>
  <si>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</si>
  <si>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</si>
  <si>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</si>
  <si>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</si>
  <si>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</si>
  <si>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</si>
  <si>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</si>
  <si>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</si>
  <si>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</si>
  <si>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</si>
  <si>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</si>
  <si>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</si>
  <si>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</si>
  <si>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</si>
  <si>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</si>
  <si>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</si>
  <si>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</si>
  <si>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</si>
  <si>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</si>
  <si>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</si>
  <si>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</si>
  <si>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</si>
  <si>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</si>
  <si>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</si>
  <si>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</si>
  <si>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</si>
  <si>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</si>
  <si>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</si>
  <si>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</si>
  <si>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</si>
  <si>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</si>
  <si>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</si>
  <si>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</si>
  <si>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</si>
  <si>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</si>
  <si>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</si>
  <si>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</si>
  <si>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</si>
  <si>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</si>
  <si>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</si>
  <si>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</si>
  <si>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</si>
  <si>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</si>
  <si>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</si>
  <si>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</si>
  <si>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</si>
  <si>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</si>
  <si>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</si>
  <si>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</si>
  <si>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</si>
  <si>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</si>
  <si>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</si>
  <si>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</si>
  <si>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</si>
  <si>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</si>
  <si>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</si>
  <si>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</si>
  <si>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</si>
  <si>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</si>
  <si>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</si>
  <si>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</si>
  <si>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</si>
  <si>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</si>
  <si>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</si>
  <si>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</si>
  <si>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</si>
  <si>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</si>
  <si>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</si>
  <si>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</si>
  <si>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</si>
  <si>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</si>
  <si>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</si>
  <si>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</si>
  <si>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</si>
  <si>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</si>
  <si>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</si>
  <si>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</si>
  <si>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</si>
  <si>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</si>
  <si>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</si>
  <si>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</si>
  <si>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</si>
  <si>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</si>
  <si>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</si>
  <si>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</si>
  <si>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</si>
  <si>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</si>
  <si>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</si>
  <si>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</si>
  <si>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</si>
  <si>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</si>
  <si>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</si>
  <si>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</si>
  <si>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</si>
  <si>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</si>
  <si>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</si>
  <si>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</si>
  <si>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</si>
  <si>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</si>
  <si>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</si>
  <si>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</si>
  <si>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</si>
  <si>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</si>
  <si>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</si>
  <si>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</si>
  <si>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</si>
  <si>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</si>
  <si>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</si>
  <si>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</si>
  <si>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</si>
  <si>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</si>
  <si>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</si>
  <si>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</si>
  <si>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</si>
  <si>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</si>
  <si>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</si>
  <si>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</si>
  <si>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</si>
  <si>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</si>
  <si>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</si>
  <si>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</si>
  <si>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</si>
  <si>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</si>
  <si>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</si>
  <si>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</si>
  <si>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</si>
  <si>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</si>
  <si>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</si>
  <si>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</si>
  <si>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</si>
  <si>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 xml:space="preserve">Dec </t>
  </si>
  <si>
    <t>Dec</t>
  </si>
  <si>
    <t>Projects</t>
  </si>
  <si>
    <t>Yes</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</si>
  <si>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</si>
  <si>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</si>
  <si>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</si>
  <si>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</si>
  <si>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</si>
  <si>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</si>
  <si>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</si>
  <si>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</si>
  <si>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</si>
  <si>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</si>
  <si>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</si>
  <si>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</si>
  <si>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</si>
  <si>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</si>
  <si>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</si>
  <si>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</si>
  <si>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</si>
  <si>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</si>
  <si>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</si>
  <si>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</si>
  <si>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</si>
  <si>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</si>
  <si>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</si>
  <si>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</si>
  <si>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</si>
  <si>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</si>
  <si>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</si>
  <si>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</si>
  <si>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</si>
  <si>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</si>
  <si>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</si>
  <si>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</si>
  <si>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</si>
  <si>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</si>
  <si>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</si>
  <si>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</si>
  <si>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</si>
  <si>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</si>
  <si>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</si>
  <si>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</si>
  <si>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</si>
  <si>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</si>
  <si>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</si>
  <si>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</si>
  <si>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</si>
  <si>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</si>
  <si>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</si>
  <si>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</si>
  <si>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</si>
  <si>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</si>
  <si>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</si>
  <si>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</si>
  <si>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</si>
  <si>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</si>
  <si>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</si>
  <si>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</si>
  <si>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</si>
  <si>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</si>
  <si>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</si>
  <si>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</si>
  <si>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</si>
  <si>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</si>
  <si>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</si>
  <si>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</si>
  <si>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</si>
  <si>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</si>
  <si>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</si>
  <si>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</si>
  <si>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</si>
  <si>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</si>
  <si>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</si>
  <si>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</si>
  <si>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</si>
  <si>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</si>
  <si>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</si>
  <si>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</si>
  <si>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</si>
  <si>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</si>
  <si>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</si>
  <si>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</si>
  <si>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</si>
  <si>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</si>
  <si>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</si>
  <si>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</si>
  <si>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</si>
  <si>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</si>
  <si>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</si>
  <si>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</si>
  <si>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</si>
  <si>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</si>
  <si>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</si>
  <si>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</si>
  <si>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</si>
  <si>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</si>
  <si>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</si>
  <si>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</si>
  <si>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</si>
  <si>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</si>
  <si>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</si>
  <si>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</si>
  <si>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</si>
  <si>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</si>
  <si>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</si>
  <si>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</si>
  <si>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</si>
  <si>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</si>
  <si>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</si>
  <si>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</si>
  <si>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</si>
  <si>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</si>
  <si>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</si>
  <si>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</si>
  <si>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</si>
  <si>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</si>
  <si>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</si>
  <si>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</si>
  <si>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</si>
  <si>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</si>
  <si>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</si>
  <si>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</si>
  <si>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</si>
  <si>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</si>
  <si>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</si>
  <si>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</si>
  <si>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</si>
  <si>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</si>
  <si>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</si>
  <si>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</si>
  <si>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</si>
  <si>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</si>
  <si>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</si>
  <si>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</si>
  <si>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</si>
  <si>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</si>
  <si>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</si>
  <si>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</si>
  <si>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</si>
  <si>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</si>
  <si>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</si>
  <si>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</si>
  <si>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</si>
  <si>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</si>
  <si>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</si>
  <si>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</si>
  <si>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</si>
  <si>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</si>
  <si>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</si>
  <si>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</si>
  <si>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</si>
  <si>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</si>
  <si>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</si>
  <si>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</si>
  <si>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</si>
  <si>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</si>
  <si>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</si>
  <si>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</si>
  <si>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</si>
  <si>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</si>
  <si>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</si>
  <si>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</si>
  <si>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</si>
  <si>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</si>
  <si>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</si>
  <si>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</si>
  <si>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</si>
  <si>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</si>
  <si>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</si>
  <si>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</si>
  <si>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</si>
  <si>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</si>
  <si>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</si>
  <si>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</si>
  <si>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</si>
  <si>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</si>
  <si>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</si>
  <si>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</si>
  <si>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</si>
  <si>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</si>
  <si>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</si>
  <si>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</si>
  <si>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</si>
  <si>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</si>
  <si>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</si>
  <si>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</si>
  <si>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</si>
  <si>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</si>
  <si>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</si>
  <si>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</si>
  <si>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</si>
  <si>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</si>
  <si>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</si>
  <si>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</si>
  <si>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</si>
  <si>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</si>
  <si>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</si>
  <si>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</si>
  <si>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</si>
  <si>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</si>
  <si>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</si>
  <si>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</si>
  <si>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</si>
  <si>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</si>
  <si>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</si>
  <si>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</si>
  <si>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</si>
  <si>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</si>
  <si>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</si>
  <si>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</si>
  <si>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</si>
  <si>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</si>
  <si>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</si>
  <si>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</si>
  <si>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</si>
  <si>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</si>
  <si>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</si>
  <si>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</si>
  <si>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</si>
  <si>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</si>
  <si>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</si>
  <si>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</si>
  <si>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</si>
  <si>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</si>
  <si>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</si>
  <si>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</si>
  <si>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</si>
  <si>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</si>
  <si>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</si>
  <si>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</si>
  <si>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</si>
  <si>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</si>
  <si>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</si>
  <si>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</si>
  <si>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</si>
  <si>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</si>
  <si>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</si>
  <si>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</si>
  <si>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</si>
  <si>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</si>
  <si>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</si>
  <si>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</si>
  <si>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</si>
  <si>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</si>
  <si>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</si>
  <si>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</si>
  <si>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</si>
  <si>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</si>
  <si>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Data provided by PJM</t>
  </si>
  <si>
    <t>MWHs</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</si>
  <si>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</si>
  <si>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</si>
  <si>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</si>
  <si>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</si>
  <si>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</si>
  <si>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</si>
  <si>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</si>
  <si>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</si>
  <si>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</si>
  <si>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</si>
  <si>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</si>
  <si>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</si>
  <si>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</si>
  <si>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</si>
  <si>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</si>
  <si>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</si>
  <si>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</si>
  <si>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</si>
  <si>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</si>
  <si>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Not used for actual ATRR calculations</t>
  </si>
  <si>
    <t>Total Other Taxes from p114.14.k</t>
  </si>
  <si>
    <t>p200.8c</t>
  </si>
  <si>
    <t>p200.18c</t>
  </si>
  <si>
    <t>p200.21c/derived</t>
  </si>
  <si>
    <t>p214.2.d</t>
  </si>
  <si>
    <t>p336.7f</t>
  </si>
  <si>
    <t>(Attachment 9)</t>
  </si>
  <si>
    <t>South Charleston (Madison) Substation</t>
  </si>
  <si>
    <t>p350.c</t>
  </si>
  <si>
    <t xml:space="preserve">Form 1 Dec </t>
  </si>
  <si>
    <t>Federal Income Tax</t>
  </si>
  <si>
    <t>Ohio Municipal Income Taxes</t>
  </si>
  <si>
    <t>Sales and Use Tax</t>
  </si>
  <si>
    <t>Heavy Vehicle Use Tax</t>
  </si>
  <si>
    <t>Ohio CAT Tax</t>
  </si>
  <si>
    <t>Excluded Transission Items</t>
  </si>
  <si>
    <t>Balance at 12/31/22 - T</t>
  </si>
  <si>
    <t>Balance at 12/31/22-G</t>
  </si>
  <si>
    <t>12/31/21 - T</t>
  </si>
  <si>
    <t>12/31/21 - G</t>
  </si>
  <si>
    <r>
      <t xml:space="preserve">Revenue Credit from </t>
    </r>
    <r>
      <rPr>
        <sz val="12"/>
        <color theme="3" tint="0.59999389629810485"/>
        <rFont val="Arial"/>
        <family val="2"/>
      </rPr>
      <t>Schedule 1</t>
    </r>
    <r>
      <rPr>
        <sz val="12"/>
        <rFont val="Arial"/>
        <family val="2"/>
      </rPr>
      <t xml:space="preserve"> Border Rate Transactions</t>
    </r>
  </si>
  <si>
    <t>Estimated In-service Date</t>
  </si>
  <si>
    <t>In construction</t>
  </si>
  <si>
    <t>Information Added for CWIP report</t>
  </si>
  <si>
    <t>From 2023 LT Forecast Report to PUCO, page FE-D1 2, reporting 2022 data - total end user consumption</t>
  </si>
  <si>
    <t>12 Months Ended December 31, 2024</t>
  </si>
  <si>
    <t xml:space="preserve">Projected for </t>
  </si>
  <si>
    <t>For 5/3/20-12/31/20</t>
  </si>
  <si>
    <t>FERC Interest Rate</t>
  </si>
  <si>
    <t>2020-2024 Average</t>
  </si>
  <si>
    <t>2021-2024 Average</t>
  </si>
  <si>
    <t>ATSI Zone only</t>
  </si>
  <si>
    <t>Attachment 1A - Accumulated Deferred Income Taxes (ADIT) Worksheet - Projected December 31, 2024</t>
  </si>
  <si>
    <t>Attachment 1B - Accumulated Deferred Income Taxes - Prorated Projection - December 31, 2024</t>
  </si>
  <si>
    <t>Attachment 2 - Taxes Other Than Income - December 31, 2024</t>
  </si>
  <si>
    <t>Attachment 3 - Revenue Credits - December 31, 2024</t>
  </si>
  <si>
    <t>Attachment 4 - Cost Support - December 31, 2024</t>
  </si>
  <si>
    <t>Attachment 5 - CWIP in Rate Base - December 31, 2024</t>
  </si>
  <si>
    <t>Marysville - Upgrade Substation</t>
  </si>
  <si>
    <t>Lewisburg - new 138 kV Line New Westville-AEP Hodgin</t>
  </si>
  <si>
    <t>Lewisburg - new 138 kV Line New Westville-West Manchester</t>
  </si>
  <si>
    <t>Botkins 69 kV Capacitor Relocation</t>
  </si>
  <si>
    <t>Amsterdam - Amsterdam to West Moulton 138 kV Improvements</t>
  </si>
  <si>
    <t>Amsterdam - Substation Expansion</t>
  </si>
  <si>
    <t>Amsterdam - Sidney Substation Expansion</t>
  </si>
  <si>
    <t>Amsterdam - Franklin Substation and 138 kV extension</t>
  </si>
  <si>
    <t>Amsterdam -Sidney-Franklin Honda 138 kV Rebuild and Extension</t>
  </si>
  <si>
    <t>Madison - New 345 kV Substation</t>
  </si>
  <si>
    <t>Madison - New Fayette Substation</t>
  </si>
  <si>
    <t>Madison - New 138 kV Line Fayette to Honda</t>
  </si>
  <si>
    <t>Madison - New 345 kV Line Madison-Fayette</t>
  </si>
  <si>
    <t>Creekside - New 138 kV Line</t>
  </si>
  <si>
    <t>Attachment 6A - True-up Adjustment for Network Integration Transmission Service - December 31, 2024</t>
  </si>
  <si>
    <t>Attachment 6B - True-up Adjustment for Schedule 12 Projects (Transmission Enhancement Charges) - December 31, 2024</t>
  </si>
  <si>
    <t>Attachment 7A - ROE Adder for Projects - December 31, 2024</t>
  </si>
  <si>
    <t>Attachment 7B - Revenue Requirement of Schedule 12 Projects - December 31, 2024</t>
  </si>
  <si>
    <t>Attachment 9 - Excess Accumulated Deferred Income Taxes - December 31, 2024</t>
  </si>
  <si>
    <t>Attachment 11 - Corrections - December 31, 2024</t>
  </si>
  <si>
    <t>January through December 2024</t>
  </si>
  <si>
    <t>December 31, 2024</t>
  </si>
  <si>
    <t>Months (see Corrections Tab)</t>
  </si>
  <si>
    <t>Interest Amount</t>
  </si>
  <si>
    <t>Total Correction Plus Interest</t>
  </si>
  <si>
    <t>Schedule 12 Annual True-Up Adjustment Plus Correction</t>
  </si>
  <si>
    <t>ATSI Only Correction - 2020</t>
  </si>
  <si>
    <t>Includes Correction - 2021</t>
  </si>
  <si>
    <t>Lewisburg- West Manchester 138 kV Substation Expansion</t>
  </si>
  <si>
    <t>Status as of October 2023</t>
  </si>
  <si>
    <t>Not yet started</t>
  </si>
  <si>
    <t>Approved for Inclusion</t>
  </si>
  <si>
    <t>Rate Year = 2024</t>
  </si>
  <si>
    <t xml:space="preserve"> (part of Non-Elec Rev-Oth Rev Sch. 1a/dispatch)</t>
  </si>
  <si>
    <t>Complete</t>
  </si>
  <si>
    <t>2022 data</t>
  </si>
  <si>
    <t>Not used in projections - see 1A-ADIT</t>
  </si>
  <si>
    <t>Not used in projections - see 1B - ADIT Proration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</si>
</sst>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b/>
      <sz val="16"/>
      <color rgb="FFFF0000"/>
      <name val="Arial"/>
      <family val="2"/>
    </font>
    <font>
      <b/>
      <sz val="12"/>
      <color rgb="FFFF0000"/>
      <name val="Arial"/>
      <family val="2"/>
    </font>
    <font>
      <sz val="10"/>
      <color rgb="FFD60093"/>
      <name val="Arial"/>
      <family val="2"/>
    </font>
    <font>
      <sz val="12"/>
      <color theme="3" tint="0.59999389629810485"/>
      <name val="Arial"/>
      <family val="2"/>
    </font>
  </fonts>
  <fills count="81">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thin">
        <color indexed="64"/>
      </right>
      <top/>
      <bottom style="thin">
        <color indexed="64"/>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39">
    <xf numFmtId="0" fontId="0" fillId="0" borderId="0" xfId="0"/>
    <xf numFmtId="0" fontId="18" fillId="0" borderId="0" xfId="1" applyFont="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164" fontId="18" fillId="0" borderId="0" xfId="2" applyNumberFormat="1" applyFont="1"/>
    <xf numFmtId="0" fontId="18" fillId="0" borderId="4" xfId="1" applyFont="1" applyBorder="1"/>
    <xf numFmtId="0" fontId="24" fillId="0" borderId="0" xfId="1" applyFont="1" applyAlignment="1">
      <alignment horizontal="center"/>
    </xf>
    <xf numFmtId="0" fontId="31" fillId="0" borderId="0" xfId="1" applyFont="1"/>
    <xf numFmtId="0" fontId="28" fillId="0" borderId="0" xfId="1" applyFont="1"/>
    <xf numFmtId="164" fontId="18" fillId="0" borderId="0" xfId="2" applyNumberFormat="1" applyFont="1" applyFill="1" applyAlignment="1"/>
    <xf numFmtId="0" fontId="41" fillId="0" borderId="0" xfId="1" applyFo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164" fontId="18" fillId="0" borderId="0" xfId="2" applyNumberFormat="1" applyFont="1" applyFill="1" applyBorder="1"/>
    <xf numFmtId="0" fontId="23" fillId="0" borderId="0" xfId="1" applyFont="1"/>
    <xf numFmtId="3" fontId="18" fillId="0" borderId="0" xfId="1" applyNumberFormat="1" applyFont="1"/>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Alignment="1">
      <alignment horizontal="right" wrapText="1"/>
    </xf>
    <xf numFmtId="41" fontId="18" fillId="0" borderId="0" xfId="1" applyNumberFormat="1" applyFont="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Alignment="1">
      <alignment horizontal="center"/>
    </xf>
    <xf numFmtId="0" fontId="18" fillId="0" borderId="0" xfId="0" applyFont="1"/>
    <xf numFmtId="0" fontId="31" fillId="0" borderId="0" xfId="0" applyFont="1"/>
    <xf numFmtId="164" fontId="28" fillId="0" borderId="0" xfId="2" applyNumberFormat="1" applyFont="1" applyFill="1" applyAlignment="1"/>
    <xf numFmtId="3" fontId="18" fillId="0" borderId="22" xfId="1" applyNumberFormat="1" applyFont="1" applyBorder="1"/>
    <xf numFmtId="0" fontId="54" fillId="0" borderId="0" xfId="0" applyFont="1" applyAlignment="1">
      <alignment horizontal="center"/>
    </xf>
    <xf numFmtId="0" fontId="16" fillId="0" borderId="0" xfId="0" applyFont="1" applyAlignment="1">
      <alignment horizontal="center" wrapText="1"/>
    </xf>
    <xf numFmtId="0" fontId="16" fillId="0" borderId="15" xfId="0" applyFont="1" applyBorder="1" applyAlignment="1">
      <alignment horizontal="center" wrapText="1"/>
    </xf>
    <xf numFmtId="0" fontId="45" fillId="0" borderId="0" xfId="0" applyFont="1"/>
    <xf numFmtId="0" fontId="45" fillId="0" borderId="0" xfId="0" applyFont="1" applyAlignment="1">
      <alignment horizontal="center"/>
    </xf>
    <xf numFmtId="0" fontId="45" fillId="0" borderId="16" xfId="0" applyFont="1" applyBorder="1" applyAlignment="1">
      <alignment horizontal="left"/>
    </xf>
    <xf numFmtId="0" fontId="45" fillId="0" borderId="0" xfId="0" applyFont="1" applyAlignment="1">
      <alignment horizontal="left"/>
    </xf>
    <xf numFmtId="0" fontId="18" fillId="0" borderId="2" xfId="0" applyFont="1" applyBorder="1"/>
    <xf numFmtId="0" fontId="45" fillId="0" borderId="0" xfId="0" applyFont="1" applyAlignment="1">
      <alignment wrapText="1"/>
    </xf>
    <xf numFmtId="0" fontId="17" fillId="0" borderId="0" xfId="0" applyFont="1"/>
    <xf numFmtId="0" fontId="18" fillId="0" borderId="0" xfId="0" applyFont="1" applyAlignment="1">
      <alignment horizontal="center"/>
    </xf>
    <xf numFmtId="0" fontId="53" fillId="0" borderId="0" xfId="0" applyFont="1" applyAlignment="1">
      <alignment horizontal="center"/>
    </xf>
    <xf numFmtId="0" fontId="17" fillId="0" borderId="0" xfId="0" applyFont="1" applyAlignment="1">
      <alignment horizontal="center" wrapText="1"/>
    </xf>
    <xf numFmtId="0" fontId="52" fillId="0" borderId="0" xfId="0" applyFont="1"/>
    <xf numFmtId="0" fontId="17" fillId="0" borderId="15" xfId="0" applyFont="1" applyBorder="1" applyAlignment="1">
      <alignment horizontal="center" wrapText="1"/>
    </xf>
    <xf numFmtId="0" fontId="18" fillId="0" borderId="15" xfId="0" applyFont="1" applyBorder="1"/>
    <xf numFmtId="0" fontId="18" fillId="0" borderId="2" xfId="0" applyFont="1" applyBorder="1" applyAlignment="1">
      <alignment horizontal="center"/>
    </xf>
    <xf numFmtId="166" fontId="18" fillId="0" borderId="2" xfId="0" applyNumberFormat="1" applyFont="1" applyBorder="1" applyAlignment="1">
      <alignment horizontal="center"/>
    </xf>
    <xf numFmtId="0" fontId="19" fillId="0" borderId="2" xfId="0" applyFont="1" applyBorder="1"/>
    <xf numFmtId="0" fontId="18" fillId="0" borderId="9" xfId="0" applyFont="1" applyBorder="1"/>
    <xf numFmtId="0" fontId="15" fillId="0" borderId="0" xfId="20" applyAlignment="1">
      <alignment horizontal="center"/>
    </xf>
    <xf numFmtId="0" fontId="16" fillId="0" borderId="0" xfId="20" applyFont="1"/>
    <xf numFmtId="0" fontId="18" fillId="0" borderId="0" xfId="20" applyFont="1"/>
    <xf numFmtId="0" fontId="18" fillId="0" borderId="0" xfId="20" applyFont="1" applyAlignment="1">
      <alignment horizontal="center"/>
    </xf>
    <xf numFmtId="0" fontId="17" fillId="0" borderId="0" xfId="20" applyFont="1"/>
    <xf numFmtId="0" fontId="23" fillId="0" borderId="0" xfId="20" applyFont="1"/>
    <xf numFmtId="0" fontId="17" fillId="0" borderId="0" xfId="20" applyFont="1" applyAlignment="1">
      <alignment horizontal="centerContinuous"/>
    </xf>
    <xf numFmtId="37" fontId="18" fillId="0" borderId="0" xfId="20" applyNumberFormat="1" applyFont="1" applyAlignment="1">
      <alignment horizontal="left"/>
    </xf>
    <xf numFmtId="37" fontId="41" fillId="0" borderId="0" xfId="20" applyNumberFormat="1" applyFont="1" applyAlignment="1">
      <alignment horizontal="left"/>
    </xf>
    <xf numFmtId="0" fontId="17" fillId="0" borderId="0" xfId="20" applyFont="1" applyAlignment="1">
      <alignment horizontal="left"/>
    </xf>
    <xf numFmtId="0" fontId="17" fillId="0" borderId="0" xfId="20" applyFont="1" applyAlignment="1">
      <alignment horizontal="center"/>
    </xf>
    <xf numFmtId="0" fontId="17" fillId="10" borderId="11" xfId="20" applyFont="1" applyFill="1" applyBorder="1"/>
    <xf numFmtId="0" fontId="17" fillId="10" borderId="12" xfId="20" applyFont="1" applyFill="1" applyBorder="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Font="1" applyBorder="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8" fillId="0" borderId="0" xfId="20" applyFont="1" applyAlignment="1">
      <alignment horizontal="left"/>
    </xf>
    <xf numFmtId="3" fontId="18" fillId="0" borderId="0" xfId="20" applyNumberFormat="1" applyFont="1"/>
    <xf numFmtId="3" fontId="18" fillId="0" borderId="0" xfId="20" applyNumberFormat="1" applyFont="1" applyAlignment="1">
      <alignment horizontal="center"/>
    </xf>
    <xf numFmtId="3" fontId="18" fillId="0" borderId="0" xfId="20" applyNumberFormat="1" applyFont="1" applyAlignment="1">
      <alignment horizontal="left"/>
    </xf>
    <xf numFmtId="0" fontId="18" fillId="0" borderId="15" xfId="20" applyFont="1" applyBorder="1"/>
    <xf numFmtId="0" fontId="17" fillId="0" borderId="2" xfId="20" applyFont="1" applyBorder="1" applyAlignment="1">
      <alignment horizontal="left"/>
    </xf>
    <xf numFmtId="0" fontId="18" fillId="0" borderId="2" xfId="20" applyFont="1" applyBorder="1" applyAlignment="1">
      <alignment horizontal="left"/>
    </xf>
    <xf numFmtId="0" fontId="18" fillId="0" borderId="2" xfId="20" applyFont="1" applyBorder="1"/>
    <xf numFmtId="0" fontId="18" fillId="0" borderId="2" xfId="20" applyFont="1" applyBorder="1" applyAlignment="1">
      <alignment horizontal="center"/>
    </xf>
    <xf numFmtId="0" fontId="18" fillId="0" borderId="9" xfId="20" applyFont="1" applyBorder="1"/>
    <xf numFmtId="37" fontId="17" fillId="0" borderId="0" xfId="20" applyNumberFormat="1" applyFont="1" applyAlignment="1">
      <alignment horizontal="left"/>
    </xf>
    <xf numFmtId="0" fontId="18" fillId="10" borderId="12" xfId="20" applyFont="1" applyFill="1" applyBorder="1"/>
    <xf numFmtId="0" fontId="18" fillId="10" borderId="14" xfId="20" applyFont="1" applyFill="1" applyBorder="1"/>
    <xf numFmtId="0" fontId="17" fillId="0" borderId="16" xfId="20" applyFont="1" applyBorder="1"/>
    <xf numFmtId="0" fontId="17" fillId="0" borderId="0" xfId="20" applyFont="1" applyAlignment="1">
      <alignment wrapText="1"/>
    </xf>
    <xf numFmtId="0" fontId="18" fillId="0" borderId="6" xfId="20" applyFont="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Border="1"/>
    <xf numFmtId="0" fontId="17" fillId="0" borderId="8" xfId="20" applyFont="1" applyBorder="1" applyAlignment="1">
      <alignment horizontal="left"/>
    </xf>
    <xf numFmtId="0" fontId="18" fillId="0" borderId="8" xfId="20" applyFont="1" applyBorder="1" applyAlignment="1">
      <alignment horizontal="left"/>
    </xf>
    <xf numFmtId="3" fontId="17" fillId="0" borderId="8" xfId="20" applyNumberFormat="1" applyFont="1" applyBorder="1" applyAlignment="1">
      <alignment horizontal="center"/>
    </xf>
    <xf numFmtId="167" fontId="18" fillId="0" borderId="8" xfId="20" applyNumberFormat="1" applyFont="1" applyBorder="1"/>
    <xf numFmtId="0" fontId="18" fillId="0" borderId="15" xfId="20" applyFont="1" applyBorder="1" applyAlignment="1">
      <alignment horizontal="center" wrapText="1"/>
    </xf>
    <xf numFmtId="167" fontId="17" fillId="0" borderId="0" xfId="2" applyNumberFormat="1" applyFont="1" applyFill="1" applyBorder="1"/>
    <xf numFmtId="0" fontId="17" fillId="0" borderId="2" xfId="20" applyFont="1" applyBorder="1"/>
    <xf numFmtId="3" fontId="18" fillId="0" borderId="8" xfId="20" applyNumberFormat="1" applyFont="1" applyBorder="1" applyAlignment="1">
      <alignment horizontal="center"/>
    </xf>
    <xf numFmtId="167" fontId="18" fillId="0" borderId="0" xfId="20" applyNumberFormat="1" applyFont="1"/>
    <xf numFmtId="166" fontId="18" fillId="0" borderId="2" xfId="6" applyNumberFormat="1" applyFont="1" applyFill="1" applyBorder="1"/>
    <xf numFmtId="0" fontId="17" fillId="10" borderId="7" xfId="20" applyFont="1" applyFill="1" applyBorder="1"/>
    <xf numFmtId="0" fontId="17" fillId="10" borderId="8" xfId="20" applyFont="1" applyFill="1" applyBorder="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3" fontId="18" fillId="0" borderId="9" xfId="20" applyNumberFormat="1" applyFont="1" applyBorder="1" applyAlignment="1">
      <alignment horizontal="center"/>
    </xf>
    <xf numFmtId="0" fontId="17" fillId="0" borderId="7" xfId="20" applyFont="1" applyBorder="1"/>
    <xf numFmtId="0" fontId="17" fillId="0" borderId="8" xfId="20" applyFont="1" applyBorder="1" applyAlignment="1">
      <alignment horizontal="center"/>
    </xf>
    <xf numFmtId="0" fontId="17" fillId="0" borderId="8" xfId="20" applyFont="1" applyBorder="1" applyAlignment="1">
      <alignment wrapText="1"/>
    </xf>
    <xf numFmtId="0" fontId="17" fillId="0" borderId="8" xfId="20" applyFont="1" applyBorder="1" applyAlignment="1">
      <alignment horizontal="center" wrapText="1"/>
    </xf>
    <xf numFmtId="0" fontId="17" fillId="0" borderId="24" xfId="20" applyFont="1" applyBorder="1" applyAlignment="1">
      <alignment horizontal="center" wrapText="1"/>
    </xf>
    <xf numFmtId="3" fontId="18" fillId="0" borderId="15" xfId="20" applyNumberFormat="1" applyFont="1" applyBorder="1" applyAlignment="1">
      <alignment horizontal="right"/>
    </xf>
    <xf numFmtId="0" fontId="17" fillId="0" borderId="15" xfId="20" applyFont="1" applyBorder="1" applyAlignment="1">
      <alignment horizontal="center"/>
    </xf>
    <xf numFmtId="0" fontId="18" fillId="0" borderId="6" xfId="20" applyFont="1" applyBorder="1"/>
    <xf numFmtId="0" fontId="18" fillId="0" borderId="15" xfId="20" applyFont="1" applyBorder="1" applyAlignment="1">
      <alignment horizontal="center"/>
    </xf>
    <xf numFmtId="164" fontId="18" fillId="0" borderId="2" xfId="20" applyNumberFormat="1" applyFont="1" applyBorder="1" applyAlignment="1">
      <alignment horizontal="center"/>
    </xf>
    <xf numFmtId="0" fontId="18" fillId="0" borderId="9" xfId="20" applyFont="1" applyBorder="1" applyAlignment="1">
      <alignment horizontal="center"/>
    </xf>
    <xf numFmtId="0" fontId="18" fillId="0" borderId="0" xfId="20" applyFont="1" applyAlignment="1">
      <alignment horizontal="right"/>
    </xf>
    <xf numFmtId="0" fontId="18" fillId="0" borderId="2" xfId="20" applyFont="1" applyBorder="1" applyAlignment="1">
      <alignment horizontal="right"/>
    </xf>
    <xf numFmtId="0" fontId="18" fillId="0" borderId="0" xfId="20" applyFont="1" applyAlignment="1">
      <alignment horizontal="left" wrapText="1"/>
    </xf>
    <xf numFmtId="164" fontId="17" fillId="0" borderId="0" xfId="2" applyNumberFormat="1" applyFont="1" applyFill="1" applyBorder="1"/>
    <xf numFmtId="3" fontId="18" fillId="0" borderId="2" xfId="20" applyNumberFormat="1" applyFont="1" applyBorder="1"/>
    <xf numFmtId="3" fontId="18" fillId="0" borderId="2" xfId="20" applyNumberFormat="1" applyFont="1" applyBorder="1" applyAlignment="1">
      <alignment horizontal="left"/>
    </xf>
    <xf numFmtId="167" fontId="17" fillId="0" borderId="0" xfId="20" applyNumberFormat="1" applyFont="1" applyAlignment="1">
      <alignment horizontal="left"/>
    </xf>
    <xf numFmtId="169" fontId="18" fillId="0" borderId="0" xfId="20" applyNumberFormat="1" applyFo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7" fillId="0" borderId="24" xfId="20" applyFont="1" applyBorder="1" applyAlignment="1">
      <alignment wrapText="1"/>
    </xf>
    <xf numFmtId="2" fontId="18" fillId="0" borderId="0" xfId="20" applyNumberFormat="1" applyFont="1" applyAlignment="1">
      <alignment horizontal="center"/>
    </xf>
    <xf numFmtId="164" fontId="27" fillId="0" borderId="0" xfId="4" applyNumberFormat="1" applyFont="1" applyFill="1"/>
    <xf numFmtId="3" fontId="18" fillId="0" borderId="8" xfId="2" applyNumberFormat="1" applyFont="1" applyFill="1" applyBorder="1"/>
    <xf numFmtId="0" fontId="48" fillId="0" borderId="0" xfId="0" applyFont="1"/>
    <xf numFmtId="43" fontId="27" fillId="0" borderId="0" xfId="2" applyFont="1" applyFill="1"/>
    <xf numFmtId="0" fontId="23" fillId="0" borderId="0" xfId="0" applyFont="1"/>
    <xf numFmtId="0" fontId="0" fillId="0" borderId="0" xfId="0" applyAlignment="1">
      <alignment vertical="center" wrapText="1"/>
    </xf>
    <xf numFmtId="0" fontId="24" fillId="0" borderId="0" xfId="0" applyFont="1" applyAlignment="1">
      <alignment horizontal="center"/>
    </xf>
    <xf numFmtId="0" fontId="18" fillId="0" borderId="0" xfId="0" applyFont="1" applyAlignment="1">
      <alignment horizontal="left"/>
    </xf>
    <xf numFmtId="0" fontId="24" fillId="0" borderId="0" xfId="0" applyFont="1"/>
    <xf numFmtId="37" fontId="18" fillId="0" borderId="0" xfId="0" applyNumberFormat="1" applyFont="1"/>
    <xf numFmtId="37" fontId="17" fillId="0" borderId="0" xfId="0" applyNumberFormat="1" applyFont="1"/>
    <xf numFmtId="37" fontId="18" fillId="0" borderId="0" xfId="0" applyNumberFormat="1" applyFont="1" applyAlignment="1">
      <alignment horizontal="left"/>
    </xf>
    <xf numFmtId="0" fontId="17" fillId="0" borderId="0" xfId="0" applyFont="1" applyAlignment="1">
      <alignment horizontal="center"/>
    </xf>
    <xf numFmtId="0" fontId="24" fillId="0" borderId="0" xfId="0" applyFont="1" applyAlignment="1">
      <alignment horizontal="left"/>
    </xf>
    <xf numFmtId="37" fontId="18" fillId="0" borderId="34" xfId="0" applyNumberFormat="1" applyFont="1" applyBorder="1" applyAlignment="1">
      <alignment wrapText="1"/>
    </xf>
    <xf numFmtId="37" fontId="17"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wrapText="1"/>
    </xf>
    <xf numFmtId="41" fontId="17" fillId="0" borderId="0" xfId="0" applyNumberFormat="1" applyFont="1" applyAlignment="1">
      <alignment horizontal="center" wrapText="1"/>
    </xf>
    <xf numFmtId="0" fontId="17" fillId="0" borderId="17" xfId="0" applyFont="1" applyBorder="1"/>
    <xf numFmtId="0" fontId="18" fillId="0" borderId="25" xfId="0" applyFont="1" applyBorder="1" applyAlignment="1">
      <alignment wrapText="1"/>
    </xf>
    <xf numFmtId="164" fontId="18" fillId="0" borderId="0" xfId="0" applyNumberFormat="1" applyFont="1" applyAlignment="1">
      <alignment wrapText="1"/>
    </xf>
    <xf numFmtId="0" fontId="17" fillId="0" borderId="0" xfId="0" applyFont="1" applyAlignment="1">
      <alignment horizontal="centerContinuous"/>
    </xf>
    <xf numFmtId="0" fontId="18" fillId="0" borderId="0" xfId="0" applyFont="1" applyAlignment="1">
      <alignment horizontal="centerContinuous"/>
    </xf>
    <xf numFmtId="41" fontId="17" fillId="0" borderId="0" xfId="0" applyNumberFormat="1" applyFont="1" applyAlignment="1">
      <alignment horizontal="center"/>
    </xf>
    <xf numFmtId="0" fontId="22" fillId="0" borderId="0" xfId="0" applyFont="1" applyAlignment="1">
      <alignment horizontal="centerContinuous"/>
    </xf>
    <xf numFmtId="0" fontId="23" fillId="0" borderId="0" xfId="0" applyFont="1" applyAlignment="1">
      <alignment horizontal="centerContinuous"/>
    </xf>
    <xf numFmtId="0" fontId="17" fillId="0" borderId="23" xfId="0" applyFont="1" applyBorder="1"/>
    <xf numFmtId="0" fontId="18" fillId="0" borderId="29" xfId="0" applyFont="1" applyBorder="1" applyAlignment="1">
      <alignment wrapText="1"/>
    </xf>
    <xf numFmtId="0" fontId="23" fillId="0" borderId="0" xfId="20" applyFont="1" applyAlignment="1">
      <alignment horizontal="center"/>
    </xf>
    <xf numFmtId="0" fontId="24" fillId="0" borderId="0" xfId="20" applyFont="1" applyAlignment="1">
      <alignment horizontal="center"/>
    </xf>
    <xf numFmtId="0" fontId="22" fillId="0" borderId="0" xfId="20" applyFont="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Font="1" applyFill="1"/>
    <xf numFmtId="0" fontId="18" fillId="0" borderId="31" xfId="20" applyFont="1" applyBorder="1"/>
    <xf numFmtId="0" fontId="17" fillId="0" borderId="0" xfId="0" applyFont="1" applyAlignment="1">
      <alignment horizontal="right"/>
    </xf>
    <xf numFmtId="43" fontId="18" fillId="0" borderId="0" xfId="2" applyFont="1" applyFill="1" applyBorder="1" applyAlignment="1"/>
    <xf numFmtId="0" fontId="17" fillId="10" borderId="31" xfId="20" applyFont="1" applyFill="1" applyBorder="1" applyAlignment="1">
      <alignment horizontal="center" wrapText="1"/>
    </xf>
    <xf numFmtId="3" fontId="18" fillId="0" borderId="20" xfId="20" applyNumberFormat="1" applyFont="1" applyBorder="1" applyAlignment="1">
      <alignment horizontal="center"/>
    </xf>
    <xf numFmtId="37" fontId="17" fillId="0" borderId="1" xfId="20" applyNumberFormat="1" applyFont="1" applyBorder="1" applyAlignment="1">
      <alignment horizontal="center"/>
    </xf>
    <xf numFmtId="164" fontId="18" fillId="0" borderId="0" xfId="20" applyNumberFormat="1" applyFont="1"/>
    <xf numFmtId="0" fontId="27" fillId="0" borderId="0" xfId="20" applyFont="1" applyAlignment="1">
      <alignment horizontal="center"/>
    </xf>
    <xf numFmtId="0" fontId="15" fillId="0" borderId="0" xfId="20"/>
    <xf numFmtId="43" fontId="15" fillId="0" borderId="0" xfId="2" applyFont="1" applyFill="1"/>
    <xf numFmtId="164" fontId="18" fillId="0" borderId="0" xfId="1" applyNumberFormat="1" applyFont="1"/>
    <xf numFmtId="0" fontId="18" fillId="0" borderId="0" xfId="20" applyFont="1" applyProtection="1">
      <protection locked="0"/>
    </xf>
    <xf numFmtId="3" fontId="18" fillId="0" borderId="20" xfId="20" applyNumberFormat="1" applyFont="1" applyBorder="1"/>
    <xf numFmtId="0" fontId="31" fillId="0" borderId="0" xfId="20" applyFont="1"/>
    <xf numFmtId="0" fontId="28" fillId="0" borderId="0" xfId="20" applyFont="1" applyAlignment="1">
      <alignment horizontal="center" wrapText="1"/>
    </xf>
    <xf numFmtId="0" fontId="31" fillId="5" borderId="0" xfId="20" applyFont="1" applyFill="1" applyAlignment="1">
      <alignment horizontal="center" wrapText="1"/>
    </xf>
    <xf numFmtId="0" fontId="31" fillId="0" borderId="0" xfId="20" applyFont="1" applyAlignment="1">
      <alignment horizontal="center" wrapText="1"/>
    </xf>
    <xf numFmtId="3" fontId="31" fillId="0" borderId="0" xfId="20" applyNumberFormat="1" applyFont="1"/>
    <xf numFmtId="3" fontId="31" fillId="0" borderId="3" xfId="20" applyNumberFormat="1" applyFont="1" applyBorder="1"/>
    <xf numFmtId="171" fontId="28" fillId="0" borderId="0" xfId="9" applyNumberFormat="1" applyFont="1" applyAlignment="1" applyProtection="1"/>
    <xf numFmtId="3" fontId="31" fillId="0" borderId="4" xfId="20" applyNumberFormat="1" applyFont="1" applyBorder="1"/>
    <xf numFmtId="3" fontId="31" fillId="0" borderId="0" xfId="20" applyNumberFormat="1" applyFont="1" applyAlignment="1">
      <alignment horizontal="center"/>
    </xf>
    <xf numFmtId="0" fontId="31" fillId="5" borderId="0" xfId="20" applyFont="1" applyFill="1"/>
    <xf numFmtId="3" fontId="31" fillId="0" borderId="0" xfId="20" applyNumberFormat="1" applyFont="1" applyAlignment="1">
      <alignment horizontal="right"/>
    </xf>
    <xf numFmtId="171" fontId="31" fillId="0" borderId="0" xfId="20" applyNumberFormat="1" applyFont="1" applyAlignment="1">
      <alignment horizontal="right"/>
    </xf>
    <xf numFmtId="3" fontId="31" fillId="0" borderId="3" xfId="20" applyNumberFormat="1" applyFont="1" applyBorder="1" applyAlignment="1">
      <alignment horizontal="right"/>
    </xf>
    <xf numFmtId="3" fontId="31" fillId="0" borderId="4" xfId="20" applyNumberFormat="1" applyFont="1" applyBorder="1" applyAlignment="1">
      <alignment horizontal="right"/>
    </xf>
    <xf numFmtId="170" fontId="31" fillId="0" borderId="4" xfId="9" applyNumberFormat="1" applyFont="1" applyBorder="1" applyAlignment="1" applyProtection="1">
      <alignment horizontal="right"/>
    </xf>
    <xf numFmtId="3" fontId="28" fillId="0" borderId="0" xfId="20" applyNumberFormat="1" applyFont="1" applyAlignment="1">
      <alignment horizontal="right"/>
    </xf>
    <xf numFmtId="3" fontId="28" fillId="0" borderId="3" xfId="20" applyNumberFormat="1" applyFont="1" applyBorder="1"/>
    <xf numFmtId="171" fontId="28" fillId="0" borderId="0" xfId="9" applyNumberFormat="1" applyFont="1" applyFill="1" applyAlignment="1" applyProtection="1"/>
    <xf numFmtId="3" fontId="34" fillId="0" borderId="0" xfId="20" applyNumberFormat="1" applyFont="1" applyAlignment="1">
      <alignment horizontal="right"/>
    </xf>
    <xf numFmtId="3" fontId="28" fillId="0" borderId="3" xfId="20" applyNumberFormat="1" applyFont="1" applyBorder="1" applyAlignment="1">
      <alignment horizontal="right"/>
    </xf>
    <xf numFmtId="3" fontId="28" fillId="0" borderId="10" xfId="20" applyNumberFormat="1" applyFont="1" applyBorder="1"/>
    <xf numFmtId="171" fontId="34" fillId="0" borderId="0" xfId="20" applyNumberFormat="1" applyFont="1" applyAlignment="1">
      <alignment horizontal="right"/>
    </xf>
    <xf numFmtId="164" fontId="31" fillId="0" borderId="0" xfId="2" applyNumberFormat="1" applyFont="1" applyAlignment="1" applyProtection="1">
      <alignment horizontal="right"/>
    </xf>
    <xf numFmtId="165" fontId="31" fillId="0" borderId="0" xfId="20" applyNumberFormat="1" applyFont="1"/>
    <xf numFmtId="10" fontId="31" fillId="8" borderId="0" xfId="20" applyNumberFormat="1" applyFont="1" applyFill="1"/>
    <xf numFmtId="10" fontId="31" fillId="0" borderId="0" xfId="20" applyNumberFormat="1" applyFont="1" applyAlignment="1">
      <alignment horizontal="right"/>
    </xf>
    <xf numFmtId="10" fontId="31" fillId="0" borderId="0" xfId="20" applyNumberFormat="1" applyFont="1"/>
    <xf numFmtId="10" fontId="31" fillId="0" borderId="0" xfId="9" applyNumberFormat="1" applyFont="1" applyAlignment="1" applyProtection="1"/>
    <xf numFmtId="3" fontId="28" fillId="0" borderId="12" xfId="20" applyNumberFormat="1" applyFont="1" applyBorder="1"/>
    <xf numFmtId="37" fontId="28" fillId="0" borderId="0" xfId="20" applyNumberFormat="1" applyFont="1" applyAlignment="1">
      <alignment horizontal="right"/>
    </xf>
    <xf numFmtId="0" fontId="28" fillId="0" borderId="0" xfId="20" applyFont="1" applyAlignment="1">
      <alignment horizontal="center"/>
    </xf>
    <xf numFmtId="0" fontId="31" fillId="0" borderId="0" xfId="20" applyFont="1" applyAlignment="1">
      <alignment horizontal="left"/>
    </xf>
    <xf numFmtId="37" fontId="31" fillId="0" borderId="0" xfId="20" applyNumberFormat="1" applyFont="1" applyAlignment="1">
      <alignment horizontal="left"/>
    </xf>
    <xf numFmtId="0" fontId="31" fillId="0" borderId="0" xfId="20" applyFont="1" applyAlignment="1">
      <alignment horizontal="center"/>
    </xf>
    <xf numFmtId="0" fontId="26" fillId="0" borderId="0" xfId="20" applyFont="1"/>
    <xf numFmtId="0" fontId="28" fillId="6" borderId="7" xfId="20" applyFont="1" applyFill="1" applyBorder="1" applyAlignment="1">
      <alignment horizontal="left"/>
    </xf>
    <xf numFmtId="0" fontId="31" fillId="6" borderId="8" xfId="20" applyFont="1" applyFill="1" applyBorder="1"/>
    <xf numFmtId="0" fontId="28" fillId="6" borderId="16" xfId="20" applyFont="1" applyFill="1" applyBorder="1" applyAlignment="1">
      <alignment horizontal="left"/>
    </xf>
    <xf numFmtId="0" fontId="31" fillId="6" borderId="0" xfId="20" applyFont="1" applyFill="1"/>
    <xf numFmtId="0" fontId="31" fillId="6" borderId="0" xfId="20" applyFont="1" applyFill="1" applyAlignment="1">
      <alignment horizontal="center"/>
    </xf>
    <xf numFmtId="0" fontId="31" fillId="6" borderId="15" xfId="20" applyFont="1" applyFill="1" applyBorder="1" applyAlignment="1">
      <alignment horizontal="center"/>
    </xf>
    <xf numFmtId="0" fontId="28" fillId="6" borderId="6" xfId="20" applyFont="1" applyFill="1" applyBorder="1" applyAlignment="1">
      <alignment horizontal="left"/>
    </xf>
    <xf numFmtId="0" fontId="28" fillId="6" borderId="2" xfId="20" applyFont="1" applyFill="1" applyBorder="1"/>
    <xf numFmtId="0" fontId="28" fillId="6" borderId="2" xfId="20" applyFont="1" applyFill="1" applyBorder="1" applyAlignment="1">
      <alignment horizontal="center"/>
    </xf>
    <xf numFmtId="0" fontId="28" fillId="6" borderId="9" xfId="20" applyFont="1" applyFill="1" applyBorder="1" applyAlignment="1">
      <alignment horizontal="center" wrapText="1"/>
    </xf>
    <xf numFmtId="0" fontId="28" fillId="0" borderId="0" xfId="20" applyFont="1"/>
    <xf numFmtId="0" fontId="28" fillId="0" borderId="0" xfId="20" applyFont="1" applyAlignment="1">
      <alignment horizontal="left"/>
    </xf>
    <xf numFmtId="0" fontId="32" fillId="5" borderId="0" xfId="20" applyFont="1" applyFill="1" applyAlignment="1">
      <alignment horizontal="left"/>
    </xf>
    <xf numFmtId="0" fontId="32" fillId="5" borderId="0" xfId="20" applyFont="1" applyFill="1"/>
    <xf numFmtId="0" fontId="28" fillId="5" borderId="0" xfId="20" applyFont="1" applyFill="1" applyAlignment="1">
      <alignment horizontal="center"/>
    </xf>
    <xf numFmtId="0" fontId="34" fillId="0" borderId="0" xfId="20" applyFont="1" applyAlignment="1">
      <alignment horizontal="left"/>
    </xf>
    <xf numFmtId="0" fontId="34" fillId="0" borderId="0" xfId="20" applyFont="1" applyAlignment="1">
      <alignment horizontal="center"/>
    </xf>
    <xf numFmtId="0" fontId="31" fillId="0" borderId="3" xfId="20" applyFont="1" applyBorder="1"/>
    <xf numFmtId="3" fontId="31" fillId="0" borderId="3" xfId="20" applyNumberFormat="1" applyFont="1" applyBorder="1" applyAlignment="1">
      <alignment horizontal="center"/>
    </xf>
    <xf numFmtId="0" fontId="28" fillId="0" borderId="5" xfId="20" applyFont="1" applyBorder="1"/>
    <xf numFmtId="0" fontId="31" fillId="0" borderId="5" xfId="20" applyFont="1" applyBorder="1"/>
    <xf numFmtId="3" fontId="31" fillId="0" borderId="5" xfId="20" applyNumberFormat="1" applyFont="1" applyBorder="1" applyAlignment="1">
      <alignment horizontal="center"/>
    </xf>
    <xf numFmtId="3" fontId="31" fillId="0" borderId="5" xfId="20" applyNumberFormat="1" applyFont="1" applyBorder="1"/>
    <xf numFmtId="0" fontId="31" fillId="0" borderId="4" xfId="20" applyFont="1" applyBorder="1"/>
    <xf numFmtId="0" fontId="34" fillId="0" borderId="4" xfId="20" applyFont="1" applyBorder="1" applyAlignment="1">
      <alignment horizontal="center"/>
    </xf>
    <xf numFmtId="0" fontId="31" fillId="0" borderId="3" xfId="20" applyFont="1" applyBorder="1" applyAlignment="1">
      <alignment horizontal="center"/>
    </xf>
    <xf numFmtId="0" fontId="31" fillId="0" borderId="5" xfId="20" applyFont="1" applyBorder="1" applyAlignment="1">
      <alignment horizontal="center"/>
    </xf>
    <xf numFmtId="0" fontId="35" fillId="0" borderId="0" xfId="20" applyFont="1" applyAlignment="1">
      <alignment horizontal="center"/>
    </xf>
    <xf numFmtId="0" fontId="32" fillId="0" borderId="0" xfId="20" applyFont="1"/>
    <xf numFmtId="0" fontId="31" fillId="0" borderId="4" xfId="20" applyFont="1" applyBorder="1" applyAlignment="1">
      <alignment horizontal="left"/>
    </xf>
    <xf numFmtId="0" fontId="28" fillId="0" borderId="0" xfId="20" applyFont="1" applyAlignment="1">
      <alignment horizontal="right"/>
    </xf>
    <xf numFmtId="0" fontId="28" fillId="0" borderId="5" xfId="20" applyFont="1" applyBorder="1" applyAlignment="1">
      <alignment horizontal="center"/>
    </xf>
    <xf numFmtId="167" fontId="31" fillId="0" borderId="0" xfId="20" applyNumberFormat="1" applyFont="1" applyAlignment="1">
      <alignment horizontal="center"/>
    </xf>
    <xf numFmtId="0" fontId="31" fillId="0" borderId="5" xfId="20" applyFont="1" applyBorder="1" applyAlignment="1">
      <alignment horizontal="left"/>
    </xf>
    <xf numFmtId="0" fontId="36" fillId="0" borderId="0" xfId="20" applyFont="1" applyAlignment="1">
      <alignment horizontal="left"/>
    </xf>
    <xf numFmtId="0" fontId="36" fillId="0" borderId="0" xfId="20" applyFont="1"/>
    <xf numFmtId="0" fontId="31" fillId="0" borderId="0" xfId="20" applyFont="1" applyAlignment="1">
      <alignment horizontal="right"/>
    </xf>
    <xf numFmtId="0" fontId="34" fillId="0" borderId="0" xfId="20" applyFont="1"/>
    <xf numFmtId="4" fontId="34" fillId="0" borderId="0" xfId="20" applyNumberFormat="1" applyFont="1" applyAlignment="1">
      <alignment horizontal="right"/>
    </xf>
    <xf numFmtId="0" fontId="37" fillId="0" borderId="0" xfId="20" applyFont="1" applyAlignment="1">
      <alignment horizontal="left"/>
    </xf>
    <xf numFmtId="0" fontId="38" fillId="0" borderId="0" xfId="20" applyFont="1" applyAlignment="1">
      <alignment horizontal="center"/>
    </xf>
    <xf numFmtId="0" fontId="31" fillId="0" borderId="4" xfId="20" applyFont="1" applyBorder="1" applyAlignment="1">
      <alignment horizontal="center"/>
    </xf>
    <xf numFmtId="0" fontId="31" fillId="0" borderId="3" xfId="20" applyFont="1" applyBorder="1" applyAlignment="1">
      <alignment horizontal="left"/>
    </xf>
    <xf numFmtId="0" fontId="28" fillId="0" borderId="3" xfId="20" applyFont="1" applyBorder="1" applyAlignment="1">
      <alignment horizontal="center"/>
    </xf>
    <xf numFmtId="0" fontId="28" fillId="0" borderId="3" xfId="20" applyFont="1" applyBorder="1"/>
    <xf numFmtId="0" fontId="31" fillId="0" borderId="10" xfId="20" applyFont="1" applyBorder="1" applyAlignment="1">
      <alignment horizontal="center"/>
    </xf>
    <xf numFmtId="0" fontId="28" fillId="0" borderId="10" xfId="20" applyFont="1" applyBorder="1"/>
    <xf numFmtId="0" fontId="28" fillId="0" borderId="10" xfId="20" applyFont="1" applyBorder="1" applyAlignment="1">
      <alignment horizontal="center"/>
    </xf>
    <xf numFmtId="3" fontId="31" fillId="0" borderId="10" xfId="20" applyNumberFormat="1" applyFont="1" applyBorder="1"/>
    <xf numFmtId="0" fontId="28" fillId="5" borderId="0" xfId="20" applyFont="1" applyFill="1" applyAlignment="1">
      <alignment horizontal="left"/>
    </xf>
    <xf numFmtId="0" fontId="34" fillId="0" borderId="4" xfId="20" applyFont="1" applyBorder="1"/>
    <xf numFmtId="0" fontId="31" fillId="0" borderId="10" xfId="20" applyFont="1" applyBorder="1"/>
    <xf numFmtId="3" fontId="31" fillId="0" borderId="10" xfId="20" applyNumberFormat="1" applyFont="1" applyBorder="1" applyAlignment="1">
      <alignment horizontal="center"/>
    </xf>
    <xf numFmtId="0" fontId="38" fillId="0" borderId="0" xfId="20" applyFont="1"/>
    <xf numFmtId="0" fontId="28" fillId="0" borderId="10" xfId="20" applyFont="1" applyBorder="1" applyAlignment="1">
      <alignment horizontal="left"/>
    </xf>
    <xf numFmtId="0" fontId="32" fillId="5" borderId="0" xfId="20" applyFont="1" applyFill="1" applyAlignment="1">
      <alignment horizontal="center"/>
    </xf>
    <xf numFmtId="3" fontId="28" fillId="0" borderId="0" xfId="20" applyNumberFormat="1" applyFont="1"/>
    <xf numFmtId="3" fontId="31" fillId="0" borderId="0" xfId="20" applyNumberFormat="1" applyFont="1" applyAlignment="1">
      <alignment horizontal="left"/>
    </xf>
    <xf numFmtId="167" fontId="28" fillId="0" borderId="10" xfId="20" applyNumberFormat="1" applyFont="1" applyBorder="1" applyAlignment="1">
      <alignment horizontal="left"/>
    </xf>
    <xf numFmtId="3" fontId="28" fillId="0" borderId="10" xfId="20" applyNumberFormat="1" applyFont="1" applyBorder="1" applyAlignment="1">
      <alignment horizontal="center"/>
    </xf>
    <xf numFmtId="167" fontId="28" fillId="0" borderId="0" xfId="20" applyNumberFormat="1" applyFont="1" applyAlignment="1">
      <alignment horizontal="left"/>
    </xf>
    <xf numFmtId="169" fontId="31" fillId="0" borderId="0" xfId="20" applyNumberFormat="1" applyFont="1"/>
    <xf numFmtId="167" fontId="31" fillId="0" borderId="0" xfId="20" applyNumberFormat="1" applyFont="1" applyAlignment="1">
      <alignment horizontal="left"/>
    </xf>
    <xf numFmtId="0" fontId="28" fillId="0" borderId="3" xfId="20" applyFont="1" applyBorder="1" applyAlignment="1">
      <alignment horizontal="left"/>
    </xf>
    <xf numFmtId="167" fontId="28" fillId="0" borderId="5" xfId="20" applyNumberFormat="1" applyFont="1" applyBorder="1" applyAlignment="1">
      <alignment horizontal="left"/>
    </xf>
    <xf numFmtId="3" fontId="28" fillId="0" borderId="5" xfId="20" applyNumberFormat="1" applyFont="1" applyBorder="1"/>
    <xf numFmtId="3" fontId="28" fillId="0" borderId="3" xfId="20" applyNumberFormat="1" applyFont="1" applyBorder="1" applyAlignment="1">
      <alignment horizontal="center"/>
    </xf>
    <xf numFmtId="0" fontId="28" fillId="0" borderId="17" xfId="20" applyFont="1" applyBorder="1" applyAlignment="1">
      <alignment horizontal="center"/>
    </xf>
    <xf numFmtId="0" fontId="31" fillId="0" borderId="22" xfId="20" applyFont="1" applyBorder="1" applyAlignment="1">
      <alignment horizontal="center"/>
    </xf>
    <xf numFmtId="0" fontId="28" fillId="0" borderId="22" xfId="20" applyFont="1" applyBorder="1"/>
    <xf numFmtId="3" fontId="28" fillId="0" borderId="22" xfId="20" applyNumberFormat="1" applyFont="1" applyBorder="1"/>
    <xf numFmtId="3" fontId="28" fillId="0" borderId="0" xfId="20" applyNumberFormat="1" applyFont="1" applyAlignment="1">
      <alignment horizontal="center"/>
    </xf>
    <xf numFmtId="0" fontId="28" fillId="0" borderId="4" xfId="20" applyFont="1" applyBorder="1"/>
    <xf numFmtId="3" fontId="28" fillId="0" borderId="4" xfId="20" applyNumberFormat="1" applyFont="1" applyBorder="1" applyAlignment="1">
      <alignment horizontal="center"/>
    </xf>
    <xf numFmtId="43" fontId="31" fillId="0" borderId="0" xfId="20" applyNumberFormat="1" applyFont="1"/>
    <xf numFmtId="0" fontId="28" fillId="0" borderId="11" xfId="20" applyFont="1" applyBorder="1" applyAlignment="1">
      <alignment horizontal="center"/>
    </xf>
    <xf numFmtId="0" fontId="28" fillId="0" borderId="12" xfId="20" applyFont="1" applyBorder="1"/>
    <xf numFmtId="0" fontId="28" fillId="0" borderId="12" xfId="20" applyFont="1" applyBorder="1" applyAlignment="1">
      <alignment horizontal="left"/>
    </xf>
    <xf numFmtId="0" fontId="28" fillId="0" borderId="12" xfId="20" applyFont="1" applyBorder="1" applyAlignment="1">
      <alignment horizontal="center"/>
    </xf>
    <xf numFmtId="0" fontId="26" fillId="0" borderId="0" xfId="20" applyFont="1" applyAlignment="1">
      <alignment horizontal="center"/>
    </xf>
    <xf numFmtId="0" fontId="32" fillId="0" borderId="0" xfId="20" applyFont="1" applyAlignment="1">
      <alignment horizontal="left"/>
    </xf>
    <xf numFmtId="37" fontId="18" fillId="0" borderId="0" xfId="1" applyNumberFormat="1" applyFont="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164" fontId="27" fillId="0" borderId="0" xfId="20" applyNumberFormat="1" applyFont="1"/>
    <xf numFmtId="0" fontId="27" fillId="0" borderId="0" xfId="20" applyFont="1"/>
    <xf numFmtId="164" fontId="18" fillId="0" borderId="0" xfId="20" applyNumberFormat="1" applyFont="1" applyAlignment="1">
      <alignment horizontal="center"/>
    </xf>
    <xf numFmtId="171" fontId="27" fillId="0" borderId="0" xfId="20" applyNumberFormat="1" applyFont="1"/>
    <xf numFmtId="171" fontId="18" fillId="8" borderId="0" xfId="20" applyNumberFormat="1" applyFont="1" applyFill="1" applyProtection="1">
      <protection locked="0"/>
    </xf>
    <xf numFmtId="171" fontId="18" fillId="0" borderId="0" xfId="20" applyNumberFormat="1" applyFont="1"/>
    <xf numFmtId="0" fontId="22" fillId="0" borderId="0" xfId="20" applyFont="1"/>
    <xf numFmtId="0" fontId="23" fillId="0" borderId="0" xfId="20" applyFont="1" applyAlignment="1">
      <alignment horizontal="left"/>
    </xf>
    <xf numFmtId="0" fontId="17" fillId="0" borderId="59" xfId="0" applyFont="1" applyBorder="1" applyAlignment="1">
      <alignment wrapText="1"/>
    </xf>
    <xf numFmtId="0" fontId="17" fillId="0" borderId="58" xfId="0" applyFont="1" applyBorder="1"/>
    <xf numFmtId="0" fontId="17" fillId="0" borderId="19" xfId="20" applyFont="1" applyBorder="1"/>
    <xf numFmtId="0" fontId="18" fillId="8" borderId="28" xfId="20" applyFont="1" applyFill="1" applyBorder="1" applyAlignment="1">
      <alignment wrapText="1"/>
    </xf>
    <xf numFmtId="0" fontId="18" fillId="8" borderId="19" xfId="20" applyFont="1" applyFill="1" applyBorder="1" applyAlignment="1">
      <alignment wrapText="1"/>
    </xf>
    <xf numFmtId="0" fontId="17" fillId="0" borderId="18" xfId="20" applyFont="1" applyBorder="1"/>
    <xf numFmtId="164" fontId="18" fillId="8" borderId="25" xfId="3" applyNumberFormat="1" applyFont="1" applyFill="1" applyBorder="1" applyAlignment="1">
      <alignment wrapText="1"/>
    </xf>
    <xf numFmtId="3" fontId="18" fillId="0" borderId="8" xfId="20" applyNumberFormat="1" applyFont="1" applyBorder="1"/>
    <xf numFmtId="0" fontId="58" fillId="0" borderId="0" xfId="20" applyFont="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 fontId="18" fillId="0" borderId="0" xfId="0" applyNumberFormat="1" applyFont="1"/>
    <xf numFmtId="0" fontId="58" fillId="0" borderId="0" xfId="0" applyFont="1"/>
    <xf numFmtId="164" fontId="18" fillId="0" borderId="0" xfId="0" applyNumberFormat="1" applyFont="1"/>
    <xf numFmtId="41" fontId="18" fillId="0" borderId="0" xfId="0" applyNumberFormat="1" applyFont="1"/>
    <xf numFmtId="0" fontId="103" fillId="0" borderId="0" xfId="0" applyFont="1"/>
    <xf numFmtId="3" fontId="18" fillId="0" borderId="21" xfId="20" applyNumberFormat="1" applyFont="1" applyBorder="1" applyAlignment="1">
      <alignment horizontal="center"/>
    </xf>
    <xf numFmtId="3" fontId="18" fillId="0" borderId="0" xfId="2" applyNumberFormat="1" applyFont="1" applyFill="1" applyBorder="1"/>
    <xf numFmtId="0" fontId="18" fillId="0" borderId="16" xfId="0" applyFont="1" applyBorder="1" applyAlignment="1">
      <alignment horizontal="left"/>
    </xf>
    <xf numFmtId="0" fontId="18" fillId="0" borderId="6" xfId="0" applyFont="1" applyBorder="1" applyAlignment="1">
      <alignment horizontal="left"/>
    </xf>
    <xf numFmtId="0" fontId="18" fillId="0" borderId="16" xfId="0" applyFont="1" applyBorder="1" applyAlignment="1">
      <alignment horizontal="center"/>
    </xf>
    <xf numFmtId="37" fontId="18" fillId="0" borderId="0" xfId="2" applyNumberFormat="1" applyFont="1" applyFill="1" applyBorder="1"/>
    <xf numFmtId="3" fontId="17" fillId="0" borderId="0" xfId="20" applyNumberFormat="1" applyFont="1" applyAlignment="1">
      <alignment horizontal="center"/>
    </xf>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xf numFmtId="0" fontId="18" fillId="11" borderId="0" xfId="20" applyFont="1" applyFill="1" applyAlignment="1">
      <alignment horizontal="left"/>
    </xf>
    <xf numFmtId="172" fontId="18" fillId="0" borderId="0" xfId="9" applyNumberFormat="1" applyFont="1"/>
    <xf numFmtId="0" fontId="45" fillId="0" borderId="0" xfId="20" applyFont="1" applyAlignment="1">
      <alignment horizontal="center"/>
    </xf>
    <xf numFmtId="0" fontId="18" fillId="0" borderId="6" xfId="20" applyFont="1" applyBorder="1" applyAlignment="1">
      <alignment horizontal="left"/>
    </xf>
    <xf numFmtId="0" fontId="28" fillId="0" borderId="4" xfId="20" applyFont="1" applyBorder="1" applyAlignment="1">
      <alignment horizontal="center"/>
    </xf>
    <xf numFmtId="3" fontId="104" fillId="0" borderId="0" xfId="20" applyNumberFormat="1" applyFont="1" applyAlignment="1">
      <alignment horizontal="right"/>
    </xf>
    <xf numFmtId="0" fontId="28" fillId="0" borderId="5" xfId="20" applyFont="1" applyBorder="1" applyAlignment="1">
      <alignment wrapText="1"/>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Alignment="1">
      <alignment horizontal="left"/>
    </xf>
    <xf numFmtId="0" fontId="17" fillId="0" borderId="60" xfId="0" applyFont="1" applyBorder="1"/>
    <xf numFmtId="0" fontId="18" fillId="0" borderId="32" xfId="0" applyFont="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0" fillId="0" borderId="0" xfId="0" applyAlignment="1">
      <alignment horizontal="center"/>
    </xf>
    <xf numFmtId="0" fontId="17" fillId="0" borderId="0" xfId="0" applyFont="1" applyAlignment="1">
      <alignment wrapText="1"/>
    </xf>
    <xf numFmtId="0" fontId="17" fillId="0" borderId="0" xfId="301" applyFont="1" applyAlignment="1">
      <alignment horizontal="center"/>
    </xf>
    <xf numFmtId="0" fontId="18" fillId="0" borderId="0" xfId="301" applyFont="1" applyAlignment="1">
      <alignment horizontal="left" wrapText="1"/>
    </xf>
    <xf numFmtId="1" fontId="17" fillId="0" borderId="0" xfId="20" applyNumberFormat="1" applyFont="1"/>
    <xf numFmtId="37" fontId="17" fillId="0" borderId="0" xfId="20" applyNumberFormat="1" applyFont="1"/>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22" fillId="0" borderId="0" xfId="301" applyFont="1" applyAlignment="1">
      <alignment horizontal="center"/>
    </xf>
    <xf numFmtId="0" fontId="18" fillId="0" borderId="0" xfId="1" applyFont="1" applyAlignment="1">
      <alignment horizontal="center" vertical="top"/>
    </xf>
    <xf numFmtId="0" fontId="17" fillId="0" borderId="0" xfId="1" applyFont="1"/>
    <xf numFmtId="3" fontId="18" fillId="0" borderId="0" xfId="1" applyNumberFormat="1" applyFont="1" applyProtection="1">
      <protection locked="0"/>
    </xf>
    <xf numFmtId="0" fontId="17" fillId="0" borderId="0" xfId="1" applyFont="1" applyAlignment="1">
      <alignment horizontal="left"/>
    </xf>
    <xf numFmtId="0" fontId="18" fillId="0" borderId="0" xfId="20" applyFont="1" applyAlignment="1">
      <alignment horizontal="center" wrapText="1"/>
    </xf>
    <xf numFmtId="0" fontId="28" fillId="0" borderId="0" xfId="0" applyFont="1" applyAlignment="1">
      <alignment horizontal="center"/>
    </xf>
    <xf numFmtId="0" fontId="28" fillId="0" borderId="0" xfId="0" applyFont="1"/>
    <xf numFmtId="3" fontId="18" fillId="0" borderId="0" xfId="2" applyNumberFormat="1" applyFont="1" applyFill="1" applyProtection="1">
      <protection locked="0"/>
    </xf>
    <xf numFmtId="0" fontId="45" fillId="0" borderId="0" xfId="20" applyFont="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24" fillId="0" borderId="2" xfId="0" applyFont="1" applyBorder="1" applyAlignment="1">
      <alignment horizontal="center"/>
    </xf>
    <xf numFmtId="0" fontId="17" fillId="0" borderId="0" xfId="20" applyFont="1" applyAlignment="1">
      <alignment horizontal="left" indent="1"/>
    </xf>
    <xf numFmtId="0" fontId="17" fillId="69" borderId="12" xfId="20" applyFont="1" applyFill="1" applyBorder="1" applyAlignment="1">
      <alignment horizontal="center"/>
    </xf>
    <xf numFmtId="3" fontId="18" fillId="0" borderId="0" xfId="20" applyNumberFormat="1" applyFont="1" applyAlignment="1">
      <alignment horizontal="left" wrapText="1"/>
    </xf>
    <xf numFmtId="10" fontId="31" fillId="0" borderId="4" xfId="20" applyNumberFormat="1" applyFont="1" applyBorder="1"/>
    <xf numFmtId="0" fontId="17" fillId="0" borderId="2" xfId="0" applyFont="1" applyBorder="1" applyAlignment="1">
      <alignment horizontal="center"/>
    </xf>
    <xf numFmtId="37" fontId="18" fillId="0" borderId="4" xfId="0" applyNumberFormat="1" applyFont="1" applyBorder="1"/>
    <xf numFmtId="0" fontId="18" fillId="0" borderId="0" xfId="2" applyNumberFormat="1" applyFont="1" applyFill="1" applyAlignment="1">
      <alignment horizontal="center"/>
    </xf>
    <xf numFmtId="0" fontId="105" fillId="0" borderId="0" xfId="559" applyFont="1" applyAlignment="1">
      <alignment horizontal="left" vertical="center" wrapText="1"/>
    </xf>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Border="1"/>
    <xf numFmtId="170" fontId="18" fillId="0" borderId="0" xfId="9" applyNumberFormat="1" applyFont="1" applyFill="1"/>
    <xf numFmtId="170" fontId="18" fillId="0" borderId="0" xfId="9" applyNumberFormat="1" applyFont="1"/>
    <xf numFmtId="0" fontId="24" fillId="0" borderId="4" xfId="0" applyFont="1" applyBorder="1"/>
    <xf numFmtId="0" fontId="17" fillId="0" borderId="19" xfId="20" applyFont="1" applyBorder="1" applyAlignment="1">
      <alignment wrapText="1"/>
    </xf>
    <xf numFmtId="0" fontId="17" fillId="0" borderId="17" xfId="0" applyFont="1" applyBorder="1" applyAlignment="1">
      <alignment wrapText="1"/>
    </xf>
    <xf numFmtId="0" fontId="17" fillId="0" borderId="60" xfId="0" applyFont="1" applyBorder="1" applyAlignment="1">
      <alignment wrapText="1"/>
    </xf>
    <xf numFmtId="37" fontId="18" fillId="0" borderId="0" xfId="0" applyNumberFormat="1" applyFont="1" applyAlignment="1">
      <alignment horizontal="center"/>
    </xf>
    <xf numFmtId="37" fontId="18" fillId="0" borderId="0" xfId="0" applyNumberFormat="1" applyFont="1" applyAlignment="1">
      <alignment wrapText="1"/>
    </xf>
    <xf numFmtId="41" fontId="18" fillId="0" borderId="0" xfId="0" applyNumberFormat="1" applyFont="1" applyAlignment="1">
      <alignment horizontal="center"/>
    </xf>
    <xf numFmtId="170" fontId="110" fillId="0" borderId="0" xfId="9" applyNumberFormat="1" applyFont="1"/>
    <xf numFmtId="0" fontId="38" fillId="0" borderId="4" xfId="20" applyFont="1" applyBorder="1"/>
    <xf numFmtId="170" fontId="31" fillId="0" borderId="5" xfId="9" applyNumberFormat="1" applyFont="1" applyBorder="1" applyAlignment="1" applyProtection="1">
      <alignment horizontal="right"/>
    </xf>
    <xf numFmtId="3" fontId="28" fillId="0" borderId="5" xfId="20" applyNumberFormat="1" applyFont="1" applyBorder="1" applyAlignment="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lignment horizontal="right"/>
    </xf>
    <xf numFmtId="0" fontId="31" fillId="5" borderId="0" xfId="20" applyFont="1" applyFill="1" applyAlignment="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lignment horizontal="right"/>
    </xf>
    <xf numFmtId="3" fontId="28" fillId="0" borderId="22" xfId="20" applyNumberFormat="1" applyFont="1" applyBorder="1" applyAlignment="1">
      <alignment horizontal="right"/>
    </xf>
    <xf numFmtId="3" fontId="28" fillId="0" borderId="12" xfId="20" applyNumberFormat="1" applyFont="1" applyBorder="1" applyAlignment="1">
      <alignment horizontal="right"/>
    </xf>
    <xf numFmtId="170" fontId="28" fillId="0" borderId="0" xfId="9" applyNumberFormat="1" applyFont="1" applyAlignment="1" applyProtection="1">
      <alignment horizontal="right"/>
    </xf>
    <xf numFmtId="3" fontId="28" fillId="0" borderId="4" xfId="20" applyNumberFormat="1" applyFont="1" applyBorder="1" applyAlignment="1">
      <alignment horizontal="right"/>
    </xf>
    <xf numFmtId="164" fontId="28" fillId="0" borderId="0" xfId="2" applyNumberFormat="1" applyFont="1" applyFill="1" applyAlignment="1" applyProtection="1">
      <alignment horizontal="right"/>
    </xf>
    <xf numFmtId="0" fontId="31" fillId="0" borderId="0" xfId="20" applyFont="1" applyAlignment="1">
      <alignment wrapText="1"/>
    </xf>
    <xf numFmtId="3" fontId="31" fillId="0" borderId="0" xfId="20" applyNumberFormat="1" applyFont="1" applyAlignment="1">
      <alignment wrapText="1"/>
    </xf>
    <xf numFmtId="3" fontId="18" fillId="0" borderId="0" xfId="20" applyNumberFormat="1" applyFont="1" applyAlignment="1">
      <alignment horizontal="right"/>
    </xf>
    <xf numFmtId="0" fontId="18" fillId="7" borderId="0" xfId="20" applyFont="1" applyFill="1" applyAlignment="1">
      <alignment horizontal="right"/>
    </xf>
    <xf numFmtId="3" fontId="18" fillId="0" borderId="2" xfId="20" applyNumberFormat="1" applyFont="1" applyBorder="1" applyAlignment="1">
      <alignment horizontal="right"/>
    </xf>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14" fillId="0" borderId="0" xfId="20" applyFont="1"/>
    <xf numFmtId="4" fontId="28" fillId="0" borderId="0" xfId="6" applyNumberFormat="1" applyFont="1" applyBorder="1" applyAlignment="1" applyProtection="1">
      <alignment horizontal="right"/>
    </xf>
    <xf numFmtId="0" fontId="18" fillId="0" borderId="19" xfId="20" applyFont="1" applyBorder="1" applyAlignment="1">
      <alignment wrapText="1"/>
    </xf>
    <xf numFmtId="0" fontId="18" fillId="0" borderId="28" xfId="20" applyFont="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lignment horizontal="center" wrapText="1"/>
    </xf>
    <xf numFmtId="0" fontId="28" fillId="11" borderId="31" xfId="20" applyFont="1" applyFill="1" applyBorder="1" applyAlignment="1">
      <alignment horizontal="center"/>
    </xf>
    <xf numFmtId="3" fontId="15" fillId="0" borderId="0" xfId="20" applyNumberFormat="1"/>
    <xf numFmtId="3" fontId="15" fillId="0" borderId="4" xfId="20" applyNumberFormat="1" applyBorder="1"/>
    <xf numFmtId="0" fontId="18" fillId="11" borderId="0" xfId="0" applyFont="1" applyFill="1"/>
    <xf numFmtId="0" fontId="15" fillId="11" borderId="0" xfId="0" applyFont="1" applyFill="1"/>
    <xf numFmtId="0" fontId="28" fillId="0" borderId="0" xfId="20" applyFont="1" applyAlignment="1">
      <alignment horizontal="right" wrapText="1"/>
    </xf>
    <xf numFmtId="0" fontId="17" fillId="0" borderId="0" xfId="20" applyFont="1" applyAlignment="1">
      <alignment horizontal="right"/>
    </xf>
    <xf numFmtId="37" fontId="17" fillId="0" borderId="0" xfId="20" applyNumberFormat="1" applyFont="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164" fontId="56" fillId="0" borderId="0" xfId="20" applyNumberFormat="1" applyFont="1" applyAlignment="1">
      <alignment horizontal="center"/>
    </xf>
    <xf numFmtId="0" fontId="15" fillId="0" borderId="0" xfId="20"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Border="1"/>
    <xf numFmtId="3" fontId="18" fillId="0" borderId="13" xfId="20" applyNumberFormat="1" applyFont="1" applyBorder="1"/>
    <xf numFmtId="3" fontId="18" fillId="0" borderId="33" xfId="20" applyNumberFormat="1" applyFont="1" applyBorder="1"/>
    <xf numFmtId="3" fontId="18" fillId="0" borderId="13" xfId="20" applyNumberFormat="1" applyFont="1" applyBorder="1" applyAlignment="1">
      <alignment horizontal="right"/>
    </xf>
    <xf numFmtId="3" fontId="17" fillId="0" borderId="30" xfId="20" applyNumberFormat="1" applyFont="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Border="1"/>
    <xf numFmtId="3" fontId="18" fillId="0" borderId="61" xfId="20" applyNumberFormat="1" applyFont="1" applyBorder="1"/>
    <xf numFmtId="3" fontId="17" fillId="0" borderId="0" xfId="0" applyNumberFormat="1" applyFont="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Border="1"/>
    <xf numFmtId="3" fontId="18" fillId="11" borderId="0" xfId="0" applyNumberFormat="1" applyFont="1" applyFill="1"/>
    <xf numFmtId="3" fontId="18" fillId="0" borderId="0" xfId="1" applyNumberFormat="1" applyFont="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Alignment="1">
      <alignment horizontal="center"/>
    </xf>
    <xf numFmtId="3" fontId="18" fillId="0" borderId="0" xfId="1" applyNumberFormat="1" applyFont="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Border="1" applyAlignment="1">
      <alignment horizontal="right"/>
    </xf>
    <xf numFmtId="3" fontId="49" fillId="0" borderId="0" xfId="1" applyNumberFormat="1" applyFont="1" applyAlignment="1">
      <alignment horizontal="center"/>
    </xf>
    <xf numFmtId="3" fontId="24" fillId="0" borderId="0" xfId="1" applyNumberFormat="1" applyFont="1" applyAlignment="1">
      <alignment horizontal="center"/>
    </xf>
    <xf numFmtId="3" fontId="24" fillId="0" borderId="0" xfId="1" applyNumberFormat="1" applyFont="1" applyAlignment="1">
      <alignment horizontal="right"/>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Alignment="1">
      <alignment horizontal="center"/>
    </xf>
    <xf numFmtId="3" fontId="18" fillId="0" borderId="0" xfId="6" applyNumberFormat="1" applyFont="1" applyFill="1" applyBorder="1" applyAlignment="1">
      <alignment horizontal="left"/>
    </xf>
    <xf numFmtId="3" fontId="18" fillId="0" borderId="0" xfId="0" applyNumberFormat="1" applyFont="1" applyAlignment="1">
      <alignment horizontal="left"/>
    </xf>
    <xf numFmtId="3" fontId="18" fillId="11" borderId="0" xfId="6" applyNumberFormat="1" applyFont="1" applyFill="1" applyBorder="1"/>
    <xf numFmtId="3" fontId="18" fillId="11" borderId="0" xfId="20" applyNumberFormat="1" applyFont="1" applyFill="1" applyAlignment="1">
      <alignment horizontal="center"/>
    </xf>
    <xf numFmtId="3" fontId="18" fillId="11" borderId="0" xfId="20" applyNumberFormat="1" applyFont="1" applyFill="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Alignment="1">
      <alignment horizontal="right" wrapText="1"/>
    </xf>
    <xf numFmtId="0" fontId="23" fillId="0" borderId="0" xfId="0" applyFont="1" applyAlignment="1">
      <alignment horizontal="right"/>
    </xf>
    <xf numFmtId="3" fontId="18" fillId="0" borderId="0" xfId="9" applyNumberFormat="1" applyFont="1" applyFill="1"/>
    <xf numFmtId="0" fontId="18" fillId="0" borderId="8" xfId="20" applyFont="1" applyBorder="1" applyAlignment="1">
      <alignment wrapText="1"/>
    </xf>
    <xf numFmtId="10" fontId="31" fillId="11" borderId="0" xfId="9" applyNumberFormat="1" applyFont="1" applyFill="1" applyAlignment="1" applyProtection="1">
      <alignment horizontal="right"/>
    </xf>
    <xf numFmtId="0" fontId="18" fillId="0" borderId="0" xfId="20" applyFont="1" applyAlignment="1">
      <alignment horizontal="right" wrapText="1"/>
    </xf>
    <xf numFmtId="37" fontId="18" fillId="0" borderId="5" xfId="1" applyNumberFormat="1" applyFont="1" applyBorder="1" applyAlignment="1" applyProtection="1">
      <alignment horizontal="right" wrapText="1"/>
      <protection locked="0"/>
    </xf>
    <xf numFmtId="3" fontId="18" fillId="0" borderId="0" xfId="6" applyNumberFormat="1" applyFont="1" applyFill="1"/>
    <xf numFmtId="3" fontId="18" fillId="0" borderId="0" xfId="3" applyNumberFormat="1" applyFont="1" applyFill="1"/>
    <xf numFmtId="164" fontId="0" fillId="0" borderId="0" xfId="2" applyNumberFormat="1" applyFont="1"/>
    <xf numFmtId="0" fontId="28" fillId="0" borderId="7" xfId="20" applyFont="1" applyBorder="1" applyAlignment="1">
      <alignment horizontal="center"/>
    </xf>
    <xf numFmtId="0" fontId="28" fillId="0" borderId="8" xfId="20" applyFont="1" applyBorder="1" applyAlignment="1">
      <alignment horizontal="center"/>
    </xf>
    <xf numFmtId="0" fontId="28" fillId="0" borderId="8" xfId="20" applyFont="1" applyBorder="1" applyAlignment="1">
      <alignment horizontal="left"/>
    </xf>
    <xf numFmtId="0" fontId="31" fillId="0" borderId="8" xfId="20" applyFont="1" applyBorder="1" applyAlignment="1">
      <alignment horizontal="left"/>
    </xf>
    <xf numFmtId="4" fontId="28" fillId="0" borderId="24" xfId="6" applyNumberFormat="1" applyFont="1" applyBorder="1" applyAlignment="1" applyProtection="1">
      <alignment horizontal="right"/>
    </xf>
    <xf numFmtId="0" fontId="28" fillId="0" borderId="16" xfId="20" applyFont="1" applyBorder="1" applyAlignment="1">
      <alignment horizontal="center"/>
    </xf>
    <xf numFmtId="4" fontId="28" fillId="0" borderId="15" xfId="6" applyNumberFormat="1" applyFont="1" applyBorder="1" applyAlignment="1" applyProtection="1">
      <alignment horizontal="right"/>
    </xf>
    <xf numFmtId="0" fontId="28" fillId="0" borderId="6" xfId="20" applyFont="1" applyBorder="1" applyAlignment="1">
      <alignment horizontal="center"/>
    </xf>
    <xf numFmtId="0" fontId="28" fillId="0" borderId="2" xfId="20" applyFont="1" applyBorder="1" applyAlignment="1">
      <alignment horizontal="center"/>
    </xf>
    <xf numFmtId="0" fontId="28" fillId="0" borderId="2" xfId="20" applyFont="1" applyBorder="1" applyAlignment="1">
      <alignment horizontal="left"/>
    </xf>
    <xf numFmtId="4" fontId="28" fillId="0" borderId="9" xfId="6" applyNumberFormat="1" applyFont="1" applyBorder="1" applyAlignment="1" applyProtection="1">
      <alignment horizontal="right"/>
    </xf>
    <xf numFmtId="0" fontId="31"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15" fillId="11" borderId="0" xfId="0" applyFont="1" applyFill="1" applyAlignment="1">
      <alignment horizontal="center"/>
    </xf>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170" fontId="18" fillId="0" borderId="0" xfId="9" applyNumberFormat="1" applyFont="1" applyFill="1" applyAlignment="1">
      <alignment horizontal="center" wrapText="1"/>
    </xf>
    <xf numFmtId="171" fontId="18" fillId="0" borderId="0" xfId="1" applyNumberFormat="1" applyFont="1" applyAlignment="1">
      <alignment horizontal="center" wrapText="1"/>
    </xf>
    <xf numFmtId="0" fontId="18" fillId="0" borderId="5" xfId="1" applyFont="1" applyBorder="1"/>
    <xf numFmtId="3" fontId="18" fillId="0" borderId="22" xfId="1" applyNumberFormat="1" applyFont="1" applyBorder="1" applyAlignment="1">
      <alignment horizontal="right" wrapText="1"/>
    </xf>
    <xf numFmtId="3" fontId="18" fillId="0" borderId="0" xfId="2" applyNumberFormat="1" applyFont="1" applyFill="1" applyAlignment="1">
      <alignment horizontal="right" wrapText="1"/>
    </xf>
    <xf numFmtId="37" fontId="24" fillId="0" borderId="0" xfId="1" applyNumberFormat="1" applyFont="1"/>
    <xf numFmtId="37" fontId="18" fillId="0" borderId="0" xfId="1" applyNumberFormat="1" applyFont="1"/>
    <xf numFmtId="3" fontId="18" fillId="0" borderId="0" xfId="2" applyNumberFormat="1" applyFont="1" applyFill="1" applyAlignment="1">
      <alignment horizontal="right"/>
    </xf>
    <xf numFmtId="164" fontId="18" fillId="0" borderId="0" xfId="2" applyNumberFormat="1" applyFont="1" applyFill="1" applyAlignment="1">
      <alignment horizontal="right"/>
    </xf>
    <xf numFmtId="3" fontId="186" fillId="0" borderId="15" xfId="20" applyNumberFormat="1" applyFont="1" applyBorder="1" applyAlignment="1">
      <alignment horizontal="center" wrapText="1"/>
    </xf>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45" fillId="0" borderId="0" xfId="1" applyNumberFormat="1" applyFont="1"/>
    <xf numFmtId="3" fontId="45" fillId="0" borderId="0" xfId="2" applyNumberFormat="1" applyFont="1"/>
    <xf numFmtId="3" fontId="45" fillId="0" borderId="0" xfId="301" applyNumberFormat="1" applyFont="1"/>
    <xf numFmtId="0" fontId="34" fillId="0" borderId="22" xfId="20" applyFont="1" applyBorder="1" applyAlignment="1">
      <alignment horizontal="center"/>
    </xf>
    <xf numFmtId="0" fontId="31" fillId="0" borderId="0" xfId="20" applyFont="1" applyAlignment="1">
      <alignment horizontal="center" vertical="center"/>
    </xf>
    <xf numFmtId="0" fontId="31" fillId="0" borderId="0" xfId="20" applyFont="1" applyAlignment="1">
      <alignment vertical="center"/>
    </xf>
    <xf numFmtId="238" fontId="18" fillId="0" borderId="0" xfId="2" applyNumberFormat="1" applyFont="1" applyAlignment="1">
      <alignment horizontal="left"/>
    </xf>
    <xf numFmtId="3" fontId="31" fillId="0" borderId="4" xfId="20" applyNumberFormat="1" applyFont="1" applyBorder="1" applyAlignment="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Alignment="1">
      <alignment wrapText="1"/>
    </xf>
    <xf numFmtId="1" fontId="105" fillId="0" borderId="0" xfId="2" applyNumberFormat="1" applyFont="1" applyFill="1" applyBorder="1"/>
    <xf numFmtId="1" fontId="18" fillId="0" borderId="0" xfId="20" applyNumberFormat="1" applyFont="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8" fillId="78" borderId="0" xfId="0" applyNumberFormat="1" applyFont="1" applyFill="1"/>
    <xf numFmtId="0" fontId="17" fillId="0" borderId="15" xfId="20" applyFont="1" applyBorder="1" applyAlignment="1">
      <alignment horizontal="center" wrapText="1"/>
    </xf>
    <xf numFmtId="0" fontId="189" fillId="0" borderId="0" xfId="20" applyFont="1" applyAlignment="1">
      <alignment horizontal="center"/>
    </xf>
    <xf numFmtId="0" fontId="189" fillId="0" borderId="5" xfId="20" applyFont="1" applyBorder="1" applyAlignment="1">
      <alignment horizontal="center"/>
    </xf>
    <xf numFmtId="0" fontId="189" fillId="0" borderId="3" xfId="20" applyFont="1" applyBorder="1" applyAlignment="1">
      <alignment horizontal="center"/>
    </xf>
    <xf numFmtId="0" fontId="189" fillId="0" borderId="4" xfId="20" applyFont="1" applyBorder="1" applyAlignment="1">
      <alignment horizontal="center"/>
    </xf>
    <xf numFmtId="43" fontId="189" fillId="0" borderId="5" xfId="2" applyFont="1" applyBorder="1" applyAlignment="1" applyProtection="1">
      <alignment horizontal="center"/>
    </xf>
    <xf numFmtId="0" fontId="189" fillId="0" borderId="10" xfId="20" applyFont="1" applyBorder="1" applyAlignment="1">
      <alignment horizontal="center"/>
    </xf>
    <xf numFmtId="3" fontId="189" fillId="0" borderId="0" xfId="20" quotePrefix="1" applyNumberFormat="1" applyFont="1" applyAlignment="1">
      <alignment horizontal="center"/>
    </xf>
    <xf numFmtId="168" fontId="189" fillId="0" borderId="10" xfId="20" applyNumberFormat="1" applyFont="1" applyBorder="1" applyAlignment="1">
      <alignment horizontal="center"/>
    </xf>
    <xf numFmtId="168" fontId="189" fillId="0" borderId="5" xfId="20" applyNumberFormat="1" applyFont="1" applyBorder="1" applyAlignment="1">
      <alignment horizontal="center"/>
    </xf>
    <xf numFmtId="0" fontId="189" fillId="0" borderId="12" xfId="20" applyFont="1" applyBorder="1" applyAlignment="1">
      <alignment horizontal="center"/>
    </xf>
    <xf numFmtId="0" fontId="189" fillId="0" borderId="8" xfId="20" applyFont="1" applyBorder="1" applyAlignment="1">
      <alignment horizontal="center"/>
    </xf>
    <xf numFmtId="0" fontId="189" fillId="0" borderId="2" xfId="20" applyFont="1" applyBorder="1" applyAlignment="1">
      <alignment horizontal="center"/>
    </xf>
    <xf numFmtId="0" fontId="189" fillId="5" borderId="0" xfId="20" applyFont="1" applyFill="1" applyAlignment="1">
      <alignment horizontal="center"/>
    </xf>
    <xf numFmtId="3" fontId="189" fillId="0" borderId="0" xfId="20" applyNumberFormat="1" applyFont="1" applyAlignment="1">
      <alignment horizontal="center"/>
    </xf>
    <xf numFmtId="167" fontId="189" fillId="0" borderId="0" xfId="20" applyNumberFormat="1" applyFont="1" applyAlignment="1">
      <alignment horizontal="center"/>
    </xf>
    <xf numFmtId="3" fontId="189" fillId="0" borderId="4" xfId="20" applyNumberFormat="1" applyFont="1" applyBorder="1" applyAlignment="1">
      <alignment horizontal="center"/>
    </xf>
    <xf numFmtId="3" fontId="189" fillId="0" borderId="3" xfId="20" applyNumberFormat="1" applyFont="1" applyBorder="1" applyAlignment="1">
      <alignment horizontal="center"/>
    </xf>
    <xf numFmtId="168" fontId="189" fillId="0" borderId="0" xfId="20" applyNumberFormat="1" applyFont="1" applyAlignment="1">
      <alignment horizontal="center"/>
    </xf>
    <xf numFmtId="168" fontId="189" fillId="0" borderId="4" xfId="20" applyNumberFormat="1" applyFont="1" applyBorder="1" applyAlignment="1">
      <alignment horizontal="center"/>
    </xf>
    <xf numFmtId="0" fontId="189" fillId="0" borderId="22" xfId="20" applyFont="1" applyBorder="1" applyAlignment="1">
      <alignment horizontal="center"/>
    </xf>
    <xf numFmtId="37" fontId="189" fillId="0" borderId="0" xfId="20" applyNumberFormat="1" applyFont="1" applyAlignment="1">
      <alignment horizontal="center"/>
    </xf>
    <xf numFmtId="0" fontId="189"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0" fillId="0" borderId="0" xfId="0" applyFont="1"/>
    <xf numFmtId="0" fontId="18" fillId="0" borderId="0" xfId="1" applyFont="1" applyAlignment="1">
      <alignment vertical="center" wrapText="1"/>
    </xf>
    <xf numFmtId="0" fontId="17" fillId="0" borderId="2" xfId="20" applyFont="1" applyBorder="1" applyAlignment="1">
      <alignment horizontal="center" wrapText="1"/>
    </xf>
    <xf numFmtId="0" fontId="17" fillId="0" borderId="9" xfId="20" applyFont="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22" fillId="0" borderId="0" xfId="0" applyFont="1" applyAlignment="1">
      <alignment horizontal="center"/>
    </xf>
    <xf numFmtId="279" fontId="18" fillId="0" borderId="0" xfId="6" applyNumberFormat="1" applyFont="1"/>
    <xf numFmtId="0" fontId="18" fillId="0" borderId="78" xfId="20" applyFont="1" applyBorder="1"/>
    <xf numFmtId="1" fontId="191" fillId="0" borderId="0" xfId="0" applyNumberFormat="1" applyFont="1"/>
    <xf numFmtId="3" fontId="18" fillId="8" borderId="0" xfId="20" applyNumberFormat="1" applyFont="1" applyFill="1" applyAlignment="1">
      <alignment horizontal="right" wrapText="1"/>
    </xf>
    <xf numFmtId="3" fontId="189" fillId="0" borderId="0" xfId="20" applyNumberFormat="1" applyFont="1" applyAlignment="1">
      <alignment horizontal="center" wrapText="1"/>
    </xf>
    <xf numFmtId="3" fontId="186" fillId="11" borderId="26" xfId="2" applyNumberFormat="1" applyFont="1" applyFill="1" applyBorder="1"/>
    <xf numFmtId="3" fontId="186" fillId="11" borderId="13" xfId="2" applyNumberFormat="1" applyFont="1" applyFill="1" applyBorder="1"/>
    <xf numFmtId="3" fontId="186" fillId="11" borderId="26" xfId="3" applyNumberFormat="1" applyFont="1" applyFill="1" applyBorder="1"/>
    <xf numFmtId="3" fontId="45" fillId="0" borderId="0" xfId="2" applyNumberFormat="1" applyFont="1" applyFill="1"/>
    <xf numFmtId="3" fontId="18" fillId="11" borderId="0" xfId="20" applyNumberFormat="1" applyFont="1" applyFill="1" applyAlignment="1">
      <alignment horizontal="right" wrapText="1"/>
    </xf>
    <xf numFmtId="3" fontId="18" fillId="0" borderId="0" xfId="2" applyNumberFormat="1" applyFont="1" applyFill="1" applyAlignment="1" applyProtection="1">
      <protection locked="0"/>
    </xf>
    <xf numFmtId="3" fontId="18" fillId="0" borderId="0" xfId="2" applyNumberFormat="1" applyFont="1" applyFill="1" applyAlignment="1" applyProtection="1"/>
    <xf numFmtId="3" fontId="18" fillId="0" borderId="0" xfId="20" applyNumberFormat="1" applyFont="1" applyProtection="1">
      <protection locked="0"/>
    </xf>
    <xf numFmtId="3" fontId="45" fillId="0" borderId="0" xfId="20" applyNumberFormat="1" applyFont="1"/>
    <xf numFmtId="164" fontId="18" fillId="11" borderId="0" xfId="10334" applyNumberFormat="1" applyFont="1" applyFill="1"/>
    <xf numFmtId="3" fontId="18" fillId="11" borderId="2" xfId="2" applyNumberFormat="1" applyFont="1" applyFill="1" applyBorder="1"/>
    <xf numFmtId="164" fontId="18" fillId="11" borderId="0" xfId="2" applyNumberFormat="1" applyFont="1" applyFill="1" applyBorder="1" applyAlignment="1">
      <alignment horizontal="center"/>
    </xf>
    <xf numFmtId="164" fontId="18" fillId="11" borderId="0" xfId="2" applyNumberFormat="1" applyFont="1" applyFill="1" applyBorder="1"/>
    <xf numFmtId="164" fontId="18" fillId="11" borderId="0" xfId="2" applyNumberFormat="1" applyFont="1" applyFill="1" applyBorder="1" applyAlignment="1">
      <alignment horizontal="right"/>
    </xf>
    <xf numFmtId="37" fontId="18" fillId="8" borderId="0" xfId="2" applyNumberFormat="1" applyFont="1" applyFill="1" applyBorder="1"/>
    <xf numFmtId="3" fontId="18" fillId="11" borderId="0" xfId="10334" applyNumberFormat="1" applyFont="1" applyFill="1"/>
    <xf numFmtId="1" fontId="18" fillId="11" borderId="0" xfId="2" applyNumberFormat="1" applyFont="1" applyFill="1" applyBorder="1"/>
    <xf numFmtId="164" fontId="18" fillId="11" borderId="0" xfId="10334" applyNumberFormat="1" applyFont="1" applyFill="1" applyBorder="1"/>
    <xf numFmtId="3" fontId="18" fillId="78" borderId="0" xfId="2" applyNumberFormat="1" applyFont="1" applyFill="1" applyBorder="1"/>
    <xf numFmtId="164" fontId="18" fillId="11" borderId="2" xfId="10334" applyNumberFormat="1" applyFont="1" applyFill="1" applyBorder="1"/>
    <xf numFmtId="10" fontId="18" fillId="11" borderId="0" xfId="9" applyNumberFormat="1" applyFont="1" applyFill="1" applyBorder="1"/>
    <xf numFmtId="10" fontId="18" fillId="11" borderId="2" xfId="9" applyNumberFormat="1" applyFont="1" applyFill="1" applyBorder="1"/>
    <xf numFmtId="3" fontId="18" fillId="69" borderId="0" xfId="2" applyNumberFormat="1" applyFont="1" applyFill="1" applyBorder="1"/>
    <xf numFmtId="176" fontId="18" fillId="69" borderId="0" xfId="2" applyNumberFormat="1" applyFont="1" applyFill="1" applyBorder="1"/>
    <xf numFmtId="3" fontId="18" fillId="69" borderId="0" xfId="6" applyNumberFormat="1" applyFont="1" applyFill="1" applyBorder="1" applyAlignment="1">
      <alignment horizontal="left"/>
    </xf>
    <xf numFmtId="3" fontId="18" fillId="69" borderId="0" xfId="0" applyNumberFormat="1" applyFont="1" applyFill="1" applyAlignment="1">
      <alignment horizontal="left"/>
    </xf>
    <xf numFmtId="3" fontId="18" fillId="0" borderId="0" xfId="9" applyNumberFormat="1" applyFont="1" applyFill="1" applyBorder="1"/>
    <xf numFmtId="37" fontId="18" fillId="11" borderId="0" xfId="2" applyNumberFormat="1" applyFont="1" applyFill="1"/>
    <xf numFmtId="37" fontId="18" fillId="8" borderId="0" xfId="2" applyNumberFormat="1" applyFont="1" applyFill="1"/>
    <xf numFmtId="3" fontId="18" fillId="0" borderId="31" xfId="20" applyNumberFormat="1" applyFont="1" applyBorder="1"/>
    <xf numFmtId="10" fontId="18" fillId="0" borderId="0" xfId="9" applyNumberFormat="1" applyFont="1" applyFill="1" applyAlignment="1">
      <alignment horizontal="center"/>
    </xf>
    <xf numFmtId="3" fontId="56" fillId="0" borderId="0" xfId="3" applyNumberFormat="1" applyFont="1" applyBorder="1"/>
    <xf numFmtId="3" fontId="15" fillId="11" borderId="0" xfId="0" applyNumberFormat="1" applyFont="1" applyFill="1"/>
    <xf numFmtId="3" fontId="110" fillId="11" borderId="0" xfId="0" applyNumberFormat="1" applyFont="1" applyFill="1"/>
    <xf numFmtId="166" fontId="18" fillId="11" borderId="0" xfId="6" applyNumberFormat="1" applyFont="1" applyFill="1"/>
    <xf numFmtId="164" fontId="18" fillId="11" borderId="4" xfId="2" applyNumberFormat="1" applyFont="1" applyFill="1" applyBorder="1"/>
    <xf numFmtId="164" fontId="15" fillId="11" borderId="0" xfId="2" applyNumberFormat="1" applyFont="1" applyFill="1"/>
    <xf numFmtId="164" fontId="15" fillId="0" borderId="0" xfId="2" applyNumberFormat="1" applyFont="1" applyFill="1"/>
    <xf numFmtId="3" fontId="18" fillId="11" borderId="13" xfId="3" applyNumberFormat="1" applyFont="1" applyFill="1" applyBorder="1"/>
    <xf numFmtId="37" fontId="18" fillId="11" borderId="0" xfId="2" applyNumberFormat="1" applyFont="1" applyFill="1" applyBorder="1" applyAlignment="1">
      <alignment horizontal="right"/>
    </xf>
    <xf numFmtId="37" fontId="18" fillId="69" borderId="4" xfId="20" applyNumberFormat="1" applyFont="1" applyFill="1" applyBorder="1" applyAlignment="1">
      <alignment horizontal="right" wrapText="1"/>
    </xf>
    <xf numFmtId="3" fontId="17" fillId="0" borderId="65" xfId="2" applyNumberFormat="1" applyFont="1" applyFill="1" applyBorder="1"/>
    <xf numFmtId="3" fontId="18" fillId="8" borderId="79" xfId="20" applyNumberFormat="1" applyFont="1" applyFill="1" applyBorder="1"/>
    <xf numFmtId="3" fontId="18" fillId="8" borderId="13" xfId="20" applyNumberFormat="1" applyFont="1" applyFill="1" applyBorder="1"/>
    <xf numFmtId="3" fontId="18" fillId="8" borderId="33" xfId="20" applyNumberFormat="1" applyFont="1" applyFill="1" applyBorder="1"/>
    <xf numFmtId="3" fontId="186" fillId="11" borderId="26" xfId="20" applyNumberFormat="1" applyFont="1" applyFill="1" applyBorder="1"/>
    <xf numFmtId="3" fontId="186" fillId="11" borderId="13" xfId="20" applyNumberFormat="1" applyFont="1" applyFill="1" applyBorder="1"/>
    <xf numFmtId="0" fontId="16" fillId="0" borderId="0" xfId="0" applyFont="1"/>
    <xf numFmtId="3" fontId="105" fillId="11" borderId="0" xfId="2" applyNumberFormat="1" applyFont="1" applyFill="1"/>
    <xf numFmtId="0" fontId="18" fillId="79" borderId="0" xfId="0" applyFont="1" applyFill="1" applyAlignment="1">
      <alignment horizontal="center"/>
    </xf>
    <xf numFmtId="164" fontId="18" fillId="79" borderId="0" xfId="2" applyNumberFormat="1" applyFont="1" applyFill="1"/>
    <xf numFmtId="0" fontId="18" fillId="79" borderId="0" xfId="0" applyFont="1" applyFill="1"/>
    <xf numFmtId="0" fontId="0" fillId="79" borderId="0" xfId="0" applyFill="1"/>
    <xf numFmtId="170" fontId="18" fillId="79" borderId="0" xfId="0" applyNumberFormat="1" applyFont="1" applyFill="1"/>
    <xf numFmtId="3" fontId="18" fillId="79" borderId="0" xfId="0" applyNumberFormat="1" applyFont="1" applyFill="1"/>
    <xf numFmtId="0" fontId="17" fillId="79" borderId="0" xfId="1" applyFont="1" applyFill="1"/>
    <xf numFmtId="0" fontId="18" fillId="79" borderId="0" xfId="20" applyFont="1" applyFill="1" applyAlignment="1">
      <alignment horizontal="left"/>
    </xf>
    <xf numFmtId="0" fontId="18" fillId="79" borderId="0" xfId="20" applyFont="1" applyFill="1"/>
    <xf numFmtId="0" fontId="18" fillId="80" borderId="2" xfId="20" applyFont="1" applyFill="1" applyBorder="1" applyAlignment="1">
      <alignment horizontal="left"/>
    </xf>
    <xf numFmtId="0" fontId="18" fillId="80" borderId="0" xfId="20" applyFont="1" applyFill="1"/>
    <xf numFmtId="3" fontId="18" fillId="80" borderId="0" xfId="6" applyNumberFormat="1" applyFont="1" applyFill="1" applyBorder="1"/>
    <xf numFmtId="0" fontId="17" fillId="10" borderId="11" xfId="20" applyFont="1" applyFill="1" applyBorder="1" applyAlignment="1">
      <alignment horizontal="center" wrapText="1"/>
    </xf>
    <xf numFmtId="0" fontId="0" fillId="0" borderId="15" xfId="0" applyBorder="1"/>
    <xf numFmtId="0" fontId="18" fillId="0" borderId="15" xfId="0" applyFont="1" applyBorder="1" applyAlignment="1">
      <alignment horizontal="center"/>
    </xf>
    <xf numFmtId="0" fontId="18" fillId="80" borderId="0" xfId="0" applyFont="1" applyFill="1" applyAlignment="1">
      <alignment horizontal="left"/>
    </xf>
    <xf numFmtId="0" fontId="18" fillId="80" borderId="0" xfId="1" applyFont="1" applyFill="1"/>
    <xf numFmtId="164" fontId="18" fillId="80" borderId="0" xfId="2" applyNumberFormat="1" applyFont="1" applyFill="1"/>
    <xf numFmtId="3" fontId="31" fillId="80" borderId="0" xfId="20" applyNumberFormat="1" applyFont="1" applyFill="1"/>
    <xf numFmtId="17" fontId="18" fillId="0" borderId="15" xfId="0" applyNumberFormat="1" applyFont="1" applyBorder="1" applyAlignment="1">
      <alignment horizontal="center"/>
    </xf>
    <xf numFmtId="17" fontId="15" fillId="0" borderId="0" xfId="0" applyNumberFormat="1" applyFont="1"/>
    <xf numFmtId="3" fontId="16" fillId="0" borderId="11" xfId="0" applyNumberFormat="1" applyFont="1" applyBorder="1"/>
    <xf numFmtId="3" fontId="0" fillId="0" borderId="12" xfId="0" applyNumberFormat="1" applyBorder="1"/>
    <xf numFmtId="3" fontId="16" fillId="0" borderId="14" xfId="0" applyNumberFormat="1" applyFont="1" applyBorder="1"/>
    <xf numFmtId="176" fontId="28" fillId="0" borderId="0" xfId="20" applyNumberFormat="1" applyFont="1" applyAlignment="1">
      <alignment horizontal="right"/>
    </xf>
    <xf numFmtId="0" fontId="18" fillId="78" borderId="16" xfId="20" applyFont="1" applyFill="1" applyBorder="1" applyAlignment="1">
      <alignment horizontal="center"/>
    </xf>
    <xf numFmtId="3" fontId="18" fillId="79" borderId="0" xfId="2" applyNumberFormat="1" applyFont="1" applyFill="1" applyBorder="1"/>
    <xf numFmtId="0" fontId="0" fillId="0" borderId="75" xfId="0" applyBorder="1" applyAlignment="1">
      <alignment horizontal="center"/>
    </xf>
    <xf numFmtId="0" fontId="0" fillId="0" borderId="9" xfId="0" applyBorder="1" applyAlignment="1">
      <alignment horizontal="center"/>
    </xf>
    <xf numFmtId="17" fontId="18" fillId="0" borderId="0" xfId="0" applyNumberFormat="1" applyFont="1" applyAlignment="1">
      <alignment horizontal="center"/>
    </xf>
    <xf numFmtId="10" fontId="31" fillId="0" borderId="0" xfId="9" applyNumberFormat="1" applyFont="1"/>
    <xf numFmtId="3" fontId="18" fillId="11" borderId="0" xfId="20" applyNumberFormat="1" applyFont="1" applyFill="1" applyAlignment="1">
      <alignment horizontal="right"/>
    </xf>
    <xf numFmtId="10" fontId="31" fillId="0" borderId="0" xfId="9" applyNumberFormat="1" applyFont="1" applyFill="1" applyBorder="1" applyAlignment="1" applyProtection="1">
      <alignment horizontal="right"/>
    </xf>
    <xf numFmtId="164" fontId="56" fillId="0" borderId="0" xfId="2" applyNumberFormat="1" applyFont="1"/>
    <xf numFmtId="3" fontId="28" fillId="79" borderId="0" xfId="20" applyNumberFormat="1" applyFont="1" applyFill="1" applyAlignment="1">
      <alignment horizontal="right"/>
    </xf>
    <xf numFmtId="0" fontId="31" fillId="79" borderId="0" xfId="20" applyFont="1" applyFill="1"/>
    <xf numFmtId="0" fontId="189" fillId="79" borderId="0" xfId="20" applyFont="1" applyFill="1" applyAlignment="1">
      <alignment horizontal="center"/>
    </xf>
    <xf numFmtId="37" fontId="41" fillId="0" borderId="0" xfId="0" applyNumberFormat="1" applyFont="1"/>
    <xf numFmtId="10" fontId="31" fillId="0" borderId="0" xfId="9" applyNumberFormat="1" applyFont="1" applyFill="1" applyProtection="1"/>
    <xf numFmtId="0" fontId="15" fillId="79" borderId="0" xfId="0" applyFont="1" applyFill="1" applyAlignment="1">
      <alignment wrapText="1"/>
    </xf>
    <xf numFmtId="3" fontId="15" fillId="79" borderId="0" xfId="20" applyNumberFormat="1" applyFill="1" applyAlignment="1">
      <alignment wrapText="1"/>
    </xf>
    <xf numFmtId="3" fontId="15" fillId="79" borderId="4" xfId="0" applyNumberFormat="1" applyFont="1" applyFill="1" applyBorder="1"/>
    <xf numFmtId="0" fontId="0" fillId="79" borderId="4" xfId="0" applyFill="1" applyBorder="1" applyAlignment="1">
      <alignment horizontal="center"/>
    </xf>
    <xf numFmtId="0" fontId="15" fillId="79" borderId="4" xfId="0" applyFont="1" applyFill="1" applyBorder="1" applyAlignment="1">
      <alignment horizontal="center"/>
    </xf>
    <xf numFmtId="0" fontId="15" fillId="79" borderId="0" xfId="0" applyFont="1" applyFill="1"/>
    <xf numFmtId="164" fontId="15" fillId="79" borderId="0" xfId="2" applyNumberFormat="1" applyFont="1" applyFill="1"/>
    <xf numFmtId="164" fontId="0" fillId="79" borderId="0" xfId="2" applyNumberFormat="1" applyFont="1" applyFill="1"/>
    <xf numFmtId="164" fontId="0" fillId="79" borderId="0" xfId="0" applyNumberFormat="1" applyFill="1"/>
    <xf numFmtId="9" fontId="0" fillId="79" borderId="0" xfId="9" applyFont="1" applyFill="1"/>
    <xf numFmtId="9" fontId="0" fillId="79" borderId="0" xfId="0" applyNumberFormat="1" applyFill="1"/>
    <xf numFmtId="10" fontId="0" fillId="79" borderId="0" xfId="0" applyNumberFormat="1" applyFill="1"/>
    <xf numFmtId="3" fontId="0" fillId="79" borderId="0" xfId="0" applyNumberFormat="1" applyFill="1"/>
    <xf numFmtId="164" fontId="0" fillId="79" borderId="4" xfId="2" applyNumberFormat="1" applyFont="1" applyFill="1" applyBorder="1"/>
    <xf numFmtId="164" fontId="0" fillId="79" borderId="4" xfId="0" applyNumberFormat="1" applyFill="1" applyBorder="1"/>
    <xf numFmtId="0" fontId="17" fillId="79" borderId="0" xfId="1065" applyFont="1" applyFill="1" applyAlignment="1">
      <alignment horizontal="center"/>
    </xf>
    <xf numFmtId="3" fontId="18" fillId="79" borderId="4" xfId="0" applyNumberFormat="1" applyFont="1" applyFill="1" applyBorder="1"/>
    <xf numFmtId="3" fontId="0" fillId="79" borderId="4" xfId="0" applyNumberFormat="1" applyFill="1" applyBorder="1"/>
    <xf numFmtId="0" fontId="18" fillId="80" borderId="0" xfId="0" applyFont="1" applyFill="1"/>
    <xf numFmtId="0" fontId="31" fillId="0" borderId="0" xfId="20" applyFont="1" applyAlignment="1">
      <alignment horizontal="center"/>
    </xf>
    <xf numFmtId="0" fontId="31" fillId="6" borderId="8" xfId="20" applyFont="1" applyFill="1" applyBorder="1" applyAlignment="1">
      <alignment horizontal="center"/>
    </xf>
    <xf numFmtId="0" fontId="31" fillId="6" borderId="24" xfId="20" applyFont="1" applyFill="1" applyBorder="1" applyAlignment="1">
      <alignment horizontal="center"/>
    </xf>
    <xf numFmtId="0" fontId="31" fillId="0" borderId="0" xfId="20" applyFont="1" applyAlignment="1">
      <alignment horizontal="left" wrapText="1"/>
    </xf>
    <xf numFmtId="0" fontId="31" fillId="0" borderId="0" xfId="0" applyFont="1" applyAlignment="1">
      <alignment horizontal="left" wrapText="1"/>
    </xf>
    <xf numFmtId="0" fontId="17" fillId="0" borderId="0" xfId="0" applyFont="1" applyAlignment="1">
      <alignment horizontal="center"/>
    </xf>
    <xf numFmtId="0" fontId="18" fillId="0" borderId="0" xfId="0" applyFont="1" applyAlignment="1">
      <alignment wrapText="1"/>
    </xf>
    <xf numFmtId="0" fontId="22" fillId="0" borderId="0" xfId="0" applyFont="1" applyAlignment="1">
      <alignment horizontal="center"/>
    </xf>
    <xf numFmtId="0" fontId="23" fillId="0" borderId="0" xfId="0" applyFont="1"/>
    <xf numFmtId="0" fontId="22" fillId="0" borderId="0" xfId="20" applyFont="1" applyAlignment="1">
      <alignment horizontal="center"/>
    </xf>
    <xf numFmtId="0" fontId="23" fillId="0" borderId="0" xfId="20" applyFont="1"/>
    <xf numFmtId="0" fontId="17" fillId="0" borderId="0" xfId="0" applyFont="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xf numFmtId="0" fontId="18" fillId="0" borderId="0" xfId="1" applyFont="1" applyAlignment="1">
      <alignment vertical="top" wrapText="1"/>
    </xf>
    <xf numFmtId="0" fontId="18" fillId="0" borderId="0" xfId="1" applyFont="1" applyAlignment="1">
      <alignment vertical="center" wrapText="1"/>
    </xf>
    <xf numFmtId="0" fontId="0" fillId="0" borderId="0" xfId="0"/>
    <xf numFmtId="0" fontId="17" fillId="0" borderId="2" xfId="20" applyFont="1" applyBorder="1" applyAlignment="1">
      <alignment horizontal="center" wrapText="1"/>
    </xf>
    <xf numFmtId="0" fontId="17" fillId="0" borderId="9" xfId="20" applyFont="1" applyBorder="1" applyAlignment="1">
      <alignment horizontal="center" wrapText="1"/>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Alignment="1">
      <alignment horizontal="center" wrapText="1"/>
    </xf>
    <xf numFmtId="0" fontId="17" fillId="0" borderId="15" xfId="20" applyFont="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0" xfId="20" applyNumberFormat="1" applyFont="1" applyAlignment="1">
      <alignment horizontal="center"/>
    </xf>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37" fontId="17" fillId="0" borderId="12" xfId="20" applyNumberFormat="1" applyFont="1" applyBorder="1" applyAlignment="1">
      <alignment horizontal="center"/>
    </xf>
    <xf numFmtId="37" fontId="17" fillId="0" borderId="14" xfId="20" applyNumberFormat="1" applyFont="1" applyBorder="1" applyAlignment="1">
      <alignment horizontal="center"/>
    </xf>
    <xf numFmtId="0" fontId="18" fillId="80" borderId="75" xfId="0"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15" fontId="17" fillId="0" borderId="0" xfId="0" applyNumberFormat="1" applyFont="1" applyAlignment="1">
      <alignment horizontal="center"/>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10" fontId="22" fillId="0" borderId="0" xfId="9" applyNumberFormat="1" applyFont="1" applyAlignment="1">
      <alignment horizontal="center"/>
    </xf>
    <xf numFmtId="49" fontId="17" fillId="0" borderId="0" xfId="0"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9.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583454967128e953/Dumais%20Consulting/AES%20Corporation/AES%20Ohio/2021%20ATU/Corrected/Support/Transmission%20Forecast%20Support%20-%202022.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https://d.docs.live.net/583454967128e953/Dumais%20Consulting/AES%20Corporation/AES%20Ohio/2024%20Projection/Transmission%20Forecast%20Support%20-%202024.xlsx" TargetMode="External"/><Relationship Id="rId1" Type="http://schemas.openxmlformats.org/officeDocument/2006/relationships/externalLinkPath" Target="/583454967128e953/Dumais%20Consulting/AES%20Corporation/AES%20Ohio/2024%20Projection/Transmission%20Forecast%20Support%20-%20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Plant"/>
      <sheetName val="Trans Proj Sum NEW"/>
      <sheetName val="Taxes"/>
      <sheetName val="O&amp;M - do not update"/>
      <sheetName val="Capitalization"/>
      <sheetName val="Pension - do not update"/>
      <sheetName val="107 WOTB 12-22 Trans"/>
      <sheetName val="C55 2023 Rd 2 Trans"/>
      <sheetName val="Transmission Project Sum OLD"/>
    </sheetNames>
    <sheetDataSet>
      <sheetData sheetId="0"/>
      <sheetData sheetId="1">
        <row r="3">
          <cell r="M3">
            <v>168590768.44617003</v>
          </cell>
        </row>
        <row r="28">
          <cell r="CG28">
            <v>1763485.9519499999</v>
          </cell>
          <cell r="CH28">
            <v>1854385.9519499999</v>
          </cell>
          <cell r="CI28">
            <v>1945285.9519499999</v>
          </cell>
          <cell r="CJ28">
            <v>2036185.9519499999</v>
          </cell>
          <cell r="CK28">
            <v>2127085.9519500001</v>
          </cell>
          <cell r="CL28">
            <v>2217985.9519500001</v>
          </cell>
          <cell r="CM28">
            <v>2308885.9519500001</v>
          </cell>
          <cell r="CN28">
            <v>2399785.9519500001</v>
          </cell>
          <cell r="CO28">
            <v>2490685.9519500001</v>
          </cell>
          <cell r="CP28">
            <v>2581585.9519500001</v>
          </cell>
          <cell r="CQ28">
            <v>2672485.9519500001</v>
          </cell>
          <cell r="CR28">
            <v>2763385.9519500001</v>
          </cell>
        </row>
        <row r="171">
          <cell r="CG171">
            <v>51899.340000000004</v>
          </cell>
          <cell r="CH171">
            <v>119695.59</v>
          </cell>
          <cell r="CI171">
            <v>187491.83999999997</v>
          </cell>
          <cell r="CK171">
            <v>323084.33999999997</v>
          </cell>
          <cell r="CL171">
            <v>390880.58999999997</v>
          </cell>
          <cell r="CM171">
            <v>458676.83999999997</v>
          </cell>
          <cell r="CN171">
            <v>526473.09</v>
          </cell>
          <cell r="CO171">
            <v>594269.33999999985</v>
          </cell>
          <cell r="CP171">
            <v>662065.58999999985</v>
          </cell>
          <cell r="CQ171">
            <v>729861.83999999985</v>
          </cell>
          <cell r="CR171">
            <v>797658.08999999985</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I1087"/>
  <sheetViews>
    <sheetView showGridLines="0" tabSelected="1" topLeftCell="A255" zoomScale="50" zoomScaleNormal="50" workbookViewId="0">
      <selection activeCell="H287" sqref="H287"/>
    </sheetView>
  </sheetViews>
  <sheetFormatPr defaultColWidth="9.28515625" defaultRowHeight="20.25"/>
  <cols>
    <col min="1" max="1" width="8.5703125" style="228" customWidth="1"/>
    <col min="2" max="2" width="4.5703125" style="197" customWidth="1"/>
    <col min="3" max="3" width="72.28515625" style="197" customWidth="1"/>
    <col min="4" max="4" width="39.85546875" style="197" customWidth="1"/>
    <col min="5" max="5" width="27.42578125" style="230" customWidth="1"/>
    <col min="6" max="6" width="36.85546875" style="197" customWidth="1"/>
    <col min="7" max="7" width="36.42578125" style="737" customWidth="1"/>
    <col min="8" max="8" width="33.7109375" style="197" customWidth="1"/>
    <col min="9" max="16384" width="9.28515625" style="8"/>
  </cols>
  <sheetData>
    <row r="2" spans="1:8" ht="25.5" customHeight="1" thickBot="1">
      <c r="C2" s="231"/>
      <c r="D2" s="884"/>
      <c r="E2" s="884"/>
      <c r="F2" s="884"/>
    </row>
    <row r="3" spans="1:8" ht="30" customHeight="1" thickBot="1">
      <c r="A3" s="232" t="s">
        <v>0</v>
      </c>
      <c r="B3" s="233"/>
      <c r="C3" s="233"/>
      <c r="D3" s="885"/>
      <c r="E3" s="885"/>
      <c r="F3" s="886"/>
    </row>
    <row r="4" spans="1:8" ht="24.6" customHeight="1">
      <c r="A4" s="234" t="s">
        <v>1</v>
      </c>
      <c r="B4" s="235"/>
      <c r="C4" s="235"/>
      <c r="D4" s="236"/>
      <c r="E4" s="236"/>
      <c r="F4" s="237"/>
      <c r="H4" s="527" t="s">
        <v>989</v>
      </c>
    </row>
    <row r="5" spans="1:8" s="9" customFormat="1" ht="45" customHeight="1" thickBot="1">
      <c r="A5" s="238" t="s">
        <v>2</v>
      </c>
      <c r="B5" s="239"/>
      <c r="C5" s="239"/>
      <c r="D5" s="239"/>
      <c r="E5" s="240" t="s">
        <v>3</v>
      </c>
      <c r="F5" s="241" t="s">
        <v>4</v>
      </c>
      <c r="G5" s="737"/>
      <c r="H5" s="526" t="s">
        <v>988</v>
      </c>
    </row>
    <row r="6" spans="1:8" s="9" customFormat="1" ht="23.25" customHeight="1">
      <c r="A6" s="243" t="s">
        <v>5</v>
      </c>
      <c r="B6" s="242"/>
      <c r="C6" s="242"/>
      <c r="D6" s="242"/>
      <c r="E6" s="227"/>
      <c r="F6" s="198"/>
      <c r="G6" s="737"/>
      <c r="H6" s="198"/>
    </row>
    <row r="7" spans="1:8">
      <c r="A7" s="244" t="s">
        <v>6</v>
      </c>
      <c r="B7" s="245"/>
      <c r="C7" s="206"/>
      <c r="D7" s="206"/>
      <c r="E7" s="246"/>
      <c r="F7" s="206"/>
      <c r="G7" s="749"/>
      <c r="H7" s="199"/>
    </row>
    <row r="8" spans="1:8">
      <c r="E8" s="227"/>
      <c r="H8" s="532"/>
    </row>
    <row r="9" spans="1:8">
      <c r="A9" s="227"/>
      <c r="B9" s="242" t="s">
        <v>7</v>
      </c>
      <c r="E9" s="205"/>
      <c r="F9" s="201"/>
      <c r="G9" s="750"/>
      <c r="H9" s="201"/>
    </row>
    <row r="10" spans="1:8">
      <c r="A10" s="230">
        <v>1</v>
      </c>
      <c r="B10" s="230"/>
      <c r="C10" s="197" t="s">
        <v>8</v>
      </c>
      <c r="D10" s="247"/>
      <c r="E10" s="248"/>
      <c r="F10" s="201" t="str">
        <f>"(Attachment 4, Line "&amp;'4 - Cost Support'!$A$33&amp;")"</f>
        <v>(Attachment 4, Line 16)</v>
      </c>
      <c r="H10" s="201">
        <f>+'4 - Cost Support'!T33</f>
        <v>4489848</v>
      </c>
    </row>
    <row r="11" spans="1:8">
      <c r="A11" s="230"/>
    </row>
    <row r="12" spans="1:8">
      <c r="A12" s="230">
        <f>+A10+1</f>
        <v>2</v>
      </c>
      <c r="B12" s="230"/>
      <c r="C12" s="197" t="s">
        <v>9</v>
      </c>
      <c r="E12" s="248"/>
      <c r="F12" s="201" t="str">
        <f>"(Attachment 4, Line "&amp;'4 - Cost Support'!$A$31&amp;")"</f>
        <v>(Attachment 4, Line 14)</v>
      </c>
      <c r="H12" s="201">
        <f>+'4 - Cost Support'!T31</f>
        <v>50062304</v>
      </c>
    </row>
    <row r="13" spans="1:8">
      <c r="A13" s="230">
        <f>+A12+1</f>
        <v>3</v>
      </c>
      <c r="B13" s="230"/>
      <c r="C13" s="197" t="s">
        <v>10</v>
      </c>
      <c r="E13" s="248"/>
      <c r="F13" s="204" t="str">
        <f>"(Attachment 4, Line "&amp;'4 - Cost Support'!$A$32&amp;")"</f>
        <v>(Attachment 4, Line 15)</v>
      </c>
      <c r="H13" s="201">
        <f>+'4 - Cost Support'!T32</f>
        <v>14168528</v>
      </c>
    </row>
    <row r="14" spans="1:8">
      <c r="A14" s="230">
        <f>+A13+1</f>
        <v>4</v>
      </c>
      <c r="B14" s="230"/>
      <c r="C14" s="249" t="s">
        <v>11</v>
      </c>
      <c r="D14" s="202"/>
      <c r="E14" s="250"/>
      <c r="F14" s="202" t="str">
        <f>"(Line "&amp;A12&amp;" - Line "&amp;A13&amp;")"</f>
        <v>(Line 2 - Line 3)</v>
      </c>
      <c r="G14" s="739"/>
      <c r="H14" s="202">
        <f>H12-H13</f>
        <v>35893776</v>
      </c>
    </row>
    <row r="15" spans="1:8">
      <c r="A15" s="230"/>
      <c r="B15" s="230"/>
      <c r="E15" s="205"/>
      <c r="H15" s="201"/>
    </row>
    <row r="16" spans="1:8" ht="21" thickBot="1">
      <c r="A16" s="230">
        <v>5</v>
      </c>
      <c r="B16" s="251" t="s">
        <v>12</v>
      </c>
      <c r="C16" s="251"/>
      <c r="D16" s="252"/>
      <c r="E16" s="253"/>
      <c r="F16" s="254" t="str">
        <f>"(Line "&amp;A10&amp;" / Line "&amp;A14&amp;")"</f>
        <v>(Line 1 / Line 4)</v>
      </c>
      <c r="G16" s="738"/>
      <c r="H16" s="472">
        <f>H10/H14</f>
        <v>0.12508709030780155</v>
      </c>
    </row>
    <row r="17" spans="1:8" ht="21" thickTop="1">
      <c r="A17" s="230"/>
      <c r="B17" s="230"/>
      <c r="C17" s="242"/>
      <c r="E17" s="205"/>
      <c r="H17" s="203"/>
    </row>
    <row r="18" spans="1:8">
      <c r="A18" s="230"/>
      <c r="B18" s="242" t="s">
        <v>13</v>
      </c>
    </row>
    <row r="19" spans="1:8">
      <c r="A19" s="230">
        <f>+A16+1</f>
        <v>6</v>
      </c>
      <c r="C19" s="197" t="s">
        <v>14</v>
      </c>
      <c r="E19" s="248" t="str">
        <f>"(Note "&amp;B$297&amp;")"</f>
        <v>(Note A)</v>
      </c>
      <c r="F19" s="201" t="str">
        <f>"(Attachment 4, Line "&amp;'4 - Cost Support'!A9&amp;")"</f>
        <v>(Attachment 4, Line 1)</v>
      </c>
      <c r="H19" s="201">
        <f>+'4 - Cost Support'!T9</f>
        <v>3356129425.550427</v>
      </c>
    </row>
    <row r="20" spans="1:8">
      <c r="A20" s="230">
        <f>+A19+1</f>
        <v>7</v>
      </c>
      <c r="C20" s="255" t="s">
        <v>15</v>
      </c>
      <c r="D20" s="255"/>
      <c r="E20" s="256" t="str">
        <f>"(Note "&amp;B$297&amp;")"</f>
        <v>(Note A)</v>
      </c>
      <c r="F20" s="204" t="str">
        <f>"(Attachment 4, Line "&amp;'4 - Cost Support'!A11&amp;")"</f>
        <v>(Attachment 4, Line 3)</v>
      </c>
      <c r="G20" s="740"/>
      <c r="H20" s="204">
        <f>+'4 - Cost Support'!T11</f>
        <v>-1343580112.1800752</v>
      </c>
    </row>
    <row r="21" spans="1:8">
      <c r="A21" s="230">
        <f>+A20+1</f>
        <v>8</v>
      </c>
      <c r="C21" s="197" t="s">
        <v>16</v>
      </c>
      <c r="F21" s="201" t="str">
        <f>"(Line "&amp;A19&amp;" - Line "&amp;A20&amp;")"</f>
        <v>(Line 6 - Line 7)</v>
      </c>
      <c r="H21" s="201">
        <f>+H19+H20</f>
        <v>2012549313.3703518</v>
      </c>
    </row>
    <row r="22" spans="1:8">
      <c r="A22" s="230"/>
    </row>
    <row r="23" spans="1:8">
      <c r="A23" s="230">
        <f>+A21+1</f>
        <v>9</v>
      </c>
      <c r="C23" s="197" t="s">
        <v>17</v>
      </c>
      <c r="E23" s="248" t="str">
        <f>"(Note "&amp;B$297&amp;")"</f>
        <v>(Note A)</v>
      </c>
      <c r="F23" s="204" t="str">
        <f>"(Line "&amp;A42&amp;")"</f>
        <v>(Line 20)</v>
      </c>
      <c r="H23" s="545">
        <f>H42</f>
        <v>788407647.75990045</v>
      </c>
    </row>
    <row r="24" spans="1:8" ht="21" thickBot="1">
      <c r="A24" s="230">
        <f>+A23+1</f>
        <v>10</v>
      </c>
      <c r="B24" s="251" t="s">
        <v>18</v>
      </c>
      <c r="C24" s="251"/>
      <c r="D24" s="252"/>
      <c r="E24" s="258"/>
      <c r="F24" s="254" t="str">
        <f>"(Line "&amp;A23&amp;" / Line "&amp;A19&amp;")"</f>
        <v>(Line 9 / Line 6)</v>
      </c>
      <c r="G24" s="738"/>
      <c r="H24" s="472">
        <f>H23/H19</f>
        <v>0.23491574602507961</v>
      </c>
    </row>
    <row r="25" spans="1:8" ht="21" thickTop="1">
      <c r="A25" s="230"/>
    </row>
    <row r="26" spans="1:8">
      <c r="A26" s="230">
        <f>+A24+1</f>
        <v>11</v>
      </c>
      <c r="B26" s="230"/>
      <c r="C26" s="197" t="s">
        <v>19</v>
      </c>
      <c r="E26" s="248" t="str">
        <f>"(Note "&amp;B$297&amp;")"</f>
        <v>(Note A)</v>
      </c>
      <c r="F26" s="204" t="str">
        <f>"(Line "&amp;A57&amp;")"</f>
        <v>(Line 29)</v>
      </c>
      <c r="H26" s="207">
        <f>H57</f>
        <v>539727010.83271062</v>
      </c>
    </row>
    <row r="27" spans="1:8" ht="21" thickBot="1">
      <c r="A27" s="230">
        <f>+A26+1</f>
        <v>12</v>
      </c>
      <c r="B27" s="251" t="s">
        <v>20</v>
      </c>
      <c r="C27" s="251"/>
      <c r="D27" s="252"/>
      <c r="E27" s="258"/>
      <c r="F27" s="254" t="str">
        <f>"(Line "&amp;A26&amp;" / Line "&amp;A21&amp;")"</f>
        <v>(Line 11 / Line 8)</v>
      </c>
      <c r="G27" s="738"/>
      <c r="H27" s="472">
        <f>H26/H21</f>
        <v>0.26818076319772116</v>
      </c>
    </row>
    <row r="28" spans="1:8" ht="21" thickTop="1">
      <c r="A28" s="230"/>
      <c r="B28" s="242"/>
      <c r="C28" s="242"/>
      <c r="F28" s="201"/>
      <c r="H28" s="389"/>
    </row>
    <row r="29" spans="1:8">
      <c r="A29" s="230"/>
      <c r="B29" s="242"/>
      <c r="F29" s="201"/>
      <c r="H29" s="389"/>
    </row>
    <row r="30" spans="1:8">
      <c r="A30" s="244" t="s">
        <v>21</v>
      </c>
      <c r="B30" s="245"/>
      <c r="C30" s="206"/>
      <c r="D30" s="206"/>
      <c r="E30" s="246"/>
      <c r="F30" s="206"/>
      <c r="G30" s="749"/>
      <c r="H30" s="199"/>
    </row>
    <row r="31" spans="1:8">
      <c r="A31" s="259"/>
      <c r="B31" s="260"/>
      <c r="E31" s="227"/>
      <c r="H31" s="200"/>
    </row>
    <row r="32" spans="1:8">
      <c r="A32" s="230"/>
      <c r="B32" s="242" t="s">
        <v>22</v>
      </c>
      <c r="E32" s="205"/>
      <c r="F32" s="201"/>
      <c r="H32" s="201"/>
    </row>
    <row r="33" spans="1:8">
      <c r="A33" s="230">
        <f>+A27+1</f>
        <v>13</v>
      </c>
      <c r="B33" s="230"/>
      <c r="C33" s="197" t="s">
        <v>23</v>
      </c>
      <c r="E33" s="248" t="str">
        <f>"(Note "&amp;B$297&amp;" &amp; "&amp;B306&amp;")"</f>
        <v>(Note A &amp; J)</v>
      </c>
      <c r="F33" s="201" t="str">
        <f>"(Attachment 4, Line "&amp;'4 - Cost Support'!A17&amp;")"</f>
        <v>(Attachment 4, Line 7)</v>
      </c>
      <c r="H33" s="201">
        <f>+'4 - Cost Support'!T17</f>
        <v>770607229.81683683</v>
      </c>
    </row>
    <row r="34" spans="1:8">
      <c r="A34" s="230"/>
      <c r="B34" s="230"/>
      <c r="F34" s="201"/>
      <c r="H34" s="201"/>
    </row>
    <row r="35" spans="1:8">
      <c r="A35" s="230">
        <f>+A33+1</f>
        <v>14</v>
      </c>
      <c r="B35" s="230"/>
      <c r="C35" s="197" t="s">
        <v>24</v>
      </c>
      <c r="E35" s="248" t="str">
        <f>"(Note "&amp;B$297&amp;")"</f>
        <v>(Note A)</v>
      </c>
      <c r="F35" s="201" t="str">
        <f>"(Attachment 4, Line "&amp;'4 - Cost Support'!A18&amp;")"</f>
        <v>(Attachment 4, Line 8)</v>
      </c>
      <c r="H35" s="201">
        <f>+'4 - Cost Support'!T18</f>
        <v>72014088.355653301</v>
      </c>
    </row>
    <row r="36" spans="1:8">
      <c r="A36" s="230">
        <f>A35+1</f>
        <v>15</v>
      </c>
      <c r="B36" s="230"/>
      <c r="C36" s="197" t="s">
        <v>25</v>
      </c>
      <c r="E36" s="248" t="str">
        <f>"(Note "&amp;B$297&amp;")"</f>
        <v>(Note A)</v>
      </c>
      <c r="F36" s="201" t="str">
        <f>"(Attachment 4, Line "&amp;'4 - Cost Support'!A19&amp;")"</f>
        <v>(Attachment 4, Line 9)</v>
      </c>
      <c r="H36" s="201">
        <f>+'4 - Cost Support'!T19</f>
        <v>70290108.658300772</v>
      </c>
    </row>
    <row r="37" spans="1:8">
      <c r="A37" s="230">
        <f>A36+1</f>
        <v>16</v>
      </c>
      <c r="B37" s="230"/>
      <c r="C37" s="197" t="s">
        <v>26</v>
      </c>
      <c r="E37" s="248" t="str">
        <f>"(Note "&amp;B$297&amp;")"</f>
        <v>(Note A)</v>
      </c>
      <c r="F37" s="204" t="str">
        <f>"(Attachment 4, Line "&amp;'4 - Cost Support'!A20&amp;")"</f>
        <v>(Attachment 4, Line 10)</v>
      </c>
      <c r="H37" s="201">
        <f>+'4 - Cost Support'!T20</f>
        <v>0</v>
      </c>
    </row>
    <row r="38" spans="1:8">
      <c r="A38" s="230">
        <f>A37+1</f>
        <v>17</v>
      </c>
      <c r="B38" s="230"/>
      <c r="C38" s="249" t="s">
        <v>27</v>
      </c>
      <c r="D38" s="249"/>
      <c r="E38" s="257"/>
      <c r="F38" s="201" t="str">
        <f>"(Line "&amp;A35&amp;" + Line "&amp;A36&amp;" + Line "&amp;A37&amp;")"</f>
        <v>(Line 14 + Line 15 + Line 16)</v>
      </c>
      <c r="G38" s="739"/>
      <c r="H38" s="202">
        <f>SUM(H35:H37)</f>
        <v>142304197.01395407</v>
      </c>
    </row>
    <row r="39" spans="1:8">
      <c r="A39" s="230">
        <f>+A38+1</f>
        <v>18</v>
      </c>
      <c r="B39" s="230"/>
      <c r="C39" s="228" t="s">
        <v>28</v>
      </c>
      <c r="E39" s="205"/>
      <c r="F39" s="204" t="str">
        <f>"(Line "&amp;A$16&amp;")"</f>
        <v>(Line 5)</v>
      </c>
      <c r="H39" s="459">
        <f>H16</f>
        <v>0.12508709030780155</v>
      </c>
    </row>
    <row r="40" spans="1:8">
      <c r="A40" s="230">
        <f>A39+1</f>
        <v>19</v>
      </c>
      <c r="C40" s="249" t="s">
        <v>29</v>
      </c>
      <c r="D40" s="249"/>
      <c r="E40" s="250"/>
      <c r="F40" s="201" t="str">
        <f>"(Line "&amp;A38&amp;" * Line "&amp;A39&amp;")"</f>
        <v>(Line 17 * Line 18)</v>
      </c>
      <c r="G40" s="739"/>
      <c r="H40" s="209">
        <f>+H38*H39</f>
        <v>17800417.943063658</v>
      </c>
    </row>
    <row r="41" spans="1:8">
      <c r="A41" s="230"/>
      <c r="C41" s="242"/>
      <c r="H41" s="207"/>
    </row>
    <row r="42" spans="1:8" s="9" customFormat="1" ht="21" thickBot="1">
      <c r="A42" s="230">
        <f>+A40+1</f>
        <v>20</v>
      </c>
      <c r="B42" s="251" t="s">
        <v>30</v>
      </c>
      <c r="C42" s="251"/>
      <c r="D42" s="251"/>
      <c r="E42" s="263"/>
      <c r="F42" s="254" t="str">
        <f>"(Line "&amp;A33&amp;" + Line "&amp;A40&amp;")"</f>
        <v>(Line 13 + Line 19)</v>
      </c>
      <c r="G42" s="738"/>
      <c r="H42" s="473">
        <f>+H33+H40</f>
        <v>788407647.75990045</v>
      </c>
    </row>
    <row r="43" spans="1:8" ht="21" thickTop="1">
      <c r="A43" s="230"/>
    </row>
    <row r="44" spans="1:8">
      <c r="A44" s="230"/>
      <c r="B44" s="242" t="s">
        <v>31</v>
      </c>
      <c r="C44" s="242"/>
      <c r="D44" s="201"/>
      <c r="E44" s="248"/>
      <c r="F44" s="201"/>
      <c r="G44" s="751"/>
      <c r="H44" s="201"/>
    </row>
    <row r="45" spans="1:8">
      <c r="A45" s="230"/>
      <c r="F45" s="201"/>
      <c r="G45" s="750"/>
      <c r="H45" s="201"/>
    </row>
    <row r="46" spans="1:8">
      <c r="A46" s="230">
        <f>+A42+1</f>
        <v>21</v>
      </c>
      <c r="B46" s="230"/>
      <c r="C46" s="197" t="s">
        <v>32</v>
      </c>
      <c r="E46" s="248" t="str">
        <f>"(Note "&amp;B$297&amp;")"</f>
        <v>(Note A)</v>
      </c>
      <c r="F46" s="201" t="str">
        <f>"(Attachment 4, Line "&amp;'4 - Cost Support'!A23&amp;")"</f>
        <v>(Attachment 4, Line 11)</v>
      </c>
      <c r="H46" s="201">
        <f>+'4 - Cost Support'!T23</f>
        <v>-241798524.10023594</v>
      </c>
    </row>
    <row r="47" spans="1:8">
      <c r="A47" s="230"/>
      <c r="B47" s="230"/>
      <c r="E47" s="248"/>
      <c r="F47" s="201"/>
      <c r="H47" s="201"/>
    </row>
    <row r="48" spans="1:8">
      <c r="A48" s="230">
        <f>A46+1</f>
        <v>22</v>
      </c>
      <c r="B48" s="230"/>
      <c r="C48" s="197" t="s">
        <v>33</v>
      </c>
      <c r="E48" s="248" t="str">
        <f>"(Note "&amp;B$297&amp;")"</f>
        <v>(Note A)</v>
      </c>
      <c r="F48" s="201" t="str">
        <f>"(Attachment 4, Line "&amp;'4 - Cost Support'!A24&amp;")"</f>
        <v>(Attachment 4, Line 12)</v>
      </c>
      <c r="H48" s="201">
        <f>+'4 - Cost Support'!T24</f>
        <v>-13446885.208007054</v>
      </c>
    </row>
    <row r="49" spans="1:8">
      <c r="A49" s="230">
        <f>+A48+1</f>
        <v>23</v>
      </c>
      <c r="B49" s="230"/>
      <c r="C49" s="197" t="s">
        <v>34</v>
      </c>
      <c r="E49" s="248" t="str">
        <f>"(Note "&amp;B$297&amp;")"</f>
        <v>(Note A)</v>
      </c>
      <c r="F49" s="201" t="str">
        <f>"(Attachment 4, Line "&amp;'4 - Cost Support'!A12&amp;")"</f>
        <v>(Attachment 4, Line 4)</v>
      </c>
      <c r="H49" s="201">
        <f>+'4 - Cost Support'!T12</f>
        <v>-41571684.734095886</v>
      </c>
    </row>
    <row r="50" spans="1:8">
      <c r="A50" s="230">
        <f>+A49+1</f>
        <v>24</v>
      </c>
      <c r="B50" s="230"/>
      <c r="C50" s="255" t="s">
        <v>35</v>
      </c>
      <c r="D50" s="255"/>
      <c r="E50" s="256" t="str">
        <f>"(Note "&amp;B$297&amp;")"</f>
        <v>(Note A)</v>
      </c>
      <c r="F50" s="204" t="str">
        <f>"(Attachment 4, Line "&amp;'4 - Cost Support'!A25&amp;")"</f>
        <v>(Attachment 4, Line 13)</v>
      </c>
      <c r="G50" s="740"/>
      <c r="H50" s="204">
        <f>+'4 - Cost Support'!T25</f>
        <v>0</v>
      </c>
    </row>
    <row r="51" spans="1:8">
      <c r="A51" s="230">
        <f>+A50+1</f>
        <v>25</v>
      </c>
      <c r="B51" s="230"/>
      <c r="C51" s="197" t="s">
        <v>36</v>
      </c>
      <c r="E51" s="205"/>
      <c r="F51" s="201" t="str">
        <f>"(Line "&amp;A48&amp;" + "&amp;A49&amp;" + "&amp;A50&amp;")"</f>
        <v>(Line 22 + 23 + 24)</v>
      </c>
      <c r="G51" s="750"/>
      <c r="H51" s="201">
        <f>+H48+H50+H49</f>
        <v>-55018569.942102939</v>
      </c>
    </row>
    <row r="52" spans="1:8">
      <c r="A52" s="230">
        <f>+A51+1</f>
        <v>26</v>
      </c>
      <c r="B52" s="230"/>
      <c r="C52" s="197" t="str">
        <f>+C39</f>
        <v>Wage &amp; Salary Allocator</v>
      </c>
      <c r="E52" s="205"/>
      <c r="F52" s="204" t="str">
        <f>"(Line "&amp;A$16&amp;")"</f>
        <v>(Line 5)</v>
      </c>
      <c r="G52" s="750"/>
      <c r="H52" s="474">
        <f>H16</f>
        <v>0.12508709030780155</v>
      </c>
    </row>
    <row r="53" spans="1:8">
      <c r="A53" s="230">
        <f>+A52+1</f>
        <v>27</v>
      </c>
      <c r="C53" s="249" t="s">
        <v>37</v>
      </c>
      <c r="D53" s="249"/>
      <c r="E53" s="257"/>
      <c r="F53" s="201" t="str">
        <f>"(Line "&amp;A51&amp;" * Line "&amp;A52&amp;")"</f>
        <v>(Line 25 * Line 26)</v>
      </c>
      <c r="G53" s="739"/>
      <c r="H53" s="209">
        <f>H51*H52</f>
        <v>-6882112.8269539261</v>
      </c>
    </row>
    <row r="54" spans="1:8">
      <c r="A54" s="230"/>
      <c r="F54" s="230"/>
      <c r="H54" s="207"/>
    </row>
    <row r="55" spans="1:8" ht="21" thickBot="1">
      <c r="A55" s="230">
        <f>+A53+1</f>
        <v>28</v>
      </c>
      <c r="B55" s="251" t="s">
        <v>38</v>
      </c>
      <c r="C55" s="251"/>
      <c r="D55" s="251"/>
      <c r="E55" s="263"/>
      <c r="F55" s="265" t="str">
        <f>"(Lines "&amp;A46&amp;" + "&amp;A53&amp;")"</f>
        <v>(Lines 21 + 27)</v>
      </c>
      <c r="G55" s="738"/>
      <c r="H55" s="473">
        <f>+H46+H53</f>
        <v>-248680636.92718986</v>
      </c>
    </row>
    <row r="56" spans="1:8" ht="21" thickTop="1">
      <c r="A56" s="230"/>
      <c r="H56" s="268"/>
    </row>
    <row r="57" spans="1:8" ht="21" thickBot="1">
      <c r="A57" s="230">
        <f>+A55+1</f>
        <v>29</v>
      </c>
      <c r="B57" s="251" t="s">
        <v>39</v>
      </c>
      <c r="C57" s="251"/>
      <c r="D57" s="251"/>
      <c r="E57" s="263"/>
      <c r="F57" s="254" t="str">
        <f>"(Line "&amp;A42&amp;" - Line "&amp;A55&amp;")"</f>
        <v>(Line 20 - Line 28)</v>
      </c>
      <c r="G57" s="738"/>
      <c r="H57" s="473">
        <f>H42+H55</f>
        <v>539727010.83271062</v>
      </c>
    </row>
    <row r="58" spans="1:8" ht="21" thickTop="1">
      <c r="A58" s="230"/>
    </row>
    <row r="59" spans="1:8">
      <c r="A59" s="244" t="s">
        <v>40</v>
      </c>
      <c r="B59" s="206"/>
      <c r="C59" s="206"/>
      <c r="D59" s="206"/>
      <c r="E59" s="246"/>
      <c r="F59" s="206"/>
      <c r="G59" s="749"/>
      <c r="H59" s="206"/>
    </row>
    <row r="60" spans="1:8">
      <c r="A60" s="266"/>
      <c r="B60" s="267"/>
      <c r="C60" s="267"/>
      <c r="D60" s="267"/>
      <c r="H60" s="532"/>
    </row>
    <row r="61" spans="1:8">
      <c r="A61" s="230"/>
      <c r="B61" s="243" t="s">
        <v>41</v>
      </c>
      <c r="E61" s="268"/>
      <c r="H61" s="201"/>
    </row>
    <row r="62" spans="1:8" ht="22.5" customHeight="1">
      <c r="A62" s="230">
        <f>+A57+1</f>
        <v>30</v>
      </c>
      <c r="B62" s="243"/>
      <c r="C62" s="242" t="s">
        <v>42</v>
      </c>
      <c r="D62" s="268"/>
      <c r="E62" s="248" t="str">
        <f>"(Notes "&amp;B$308&amp;" and "&amp;B312&amp;")"</f>
        <v>(Notes L and P)</v>
      </c>
      <c r="F62" s="489" t="str">
        <f>"(Attachment 1A, Line "&amp;'1A - ADIT'!A19&amp;")"</f>
        <v>(Attachment 1A, Line 11)</v>
      </c>
      <c r="H62" s="207">
        <f>+'1A - ADIT'!H19</f>
        <v>-45554588.053773448</v>
      </c>
    </row>
    <row r="63" spans="1:8">
      <c r="A63" s="230"/>
      <c r="C63" s="243"/>
      <c r="H63" s="207"/>
    </row>
    <row r="64" spans="1:8">
      <c r="A64" s="230"/>
      <c r="B64" s="243" t="s">
        <v>41</v>
      </c>
      <c r="H64" s="207"/>
    </row>
    <row r="65" spans="1:8">
      <c r="A65" s="230">
        <f>+A62+1</f>
        <v>31</v>
      </c>
      <c r="B65" s="243"/>
      <c r="C65" s="242" t="s">
        <v>43</v>
      </c>
      <c r="E65" s="248" t="str">
        <f>"(Note "&amp;B308&amp;" and "&amp;B310&amp;")"</f>
        <v>(Note L and N)</v>
      </c>
      <c r="F65" s="201" t="str">
        <f>"(Attachment 4, Line "&amp;'4 - Cost Support'!A203&amp;")"</f>
        <v>(Attachment 4, Line 78)</v>
      </c>
      <c r="H65" s="207">
        <f>+'4 - Cost Support'!T203</f>
        <v>-22453781.493407778</v>
      </c>
    </row>
    <row r="66" spans="1:8">
      <c r="A66" s="230"/>
      <c r="B66" s="243"/>
      <c r="C66" s="242"/>
      <c r="E66" s="248"/>
      <c r="H66" s="207"/>
    </row>
    <row r="67" spans="1:8">
      <c r="A67" s="230"/>
      <c r="B67" s="242" t="s">
        <v>44</v>
      </c>
      <c r="E67" s="197"/>
    </row>
    <row r="68" spans="1:8">
      <c r="A68" s="230">
        <f>+A65+1</f>
        <v>32</v>
      </c>
      <c r="B68" s="227"/>
      <c r="C68" s="197" t="s">
        <v>45</v>
      </c>
      <c r="D68" s="248"/>
      <c r="E68" s="248" t="str">
        <f>"(Note "&amp;B$297&amp;" &amp; "&amp;B$302&amp;")"</f>
        <v>(Note A &amp; F)</v>
      </c>
      <c r="F68" s="201" t="str">
        <f>"(Attachment 5, Line "&amp;'5 - CWIP in Rate Base'!A27&amp;")"</f>
        <v>(Attachment 5, Line 17)</v>
      </c>
      <c r="H68" s="201">
        <f>+'5 - CWIP in Rate Base'!S27</f>
        <v>91368875.647034615</v>
      </c>
    </row>
    <row r="69" spans="1:8">
      <c r="A69" s="230"/>
      <c r="B69" s="227"/>
      <c r="D69" s="248"/>
      <c r="E69" s="248"/>
      <c r="F69" s="228"/>
      <c r="H69" s="201"/>
    </row>
    <row r="70" spans="1:8" s="46" customFormat="1">
      <c r="A70" s="230"/>
      <c r="B70" s="242" t="s">
        <v>46</v>
      </c>
      <c r="C70" s="197"/>
      <c r="D70" s="197"/>
      <c r="E70" s="197"/>
      <c r="F70" s="197"/>
      <c r="G70" s="737"/>
      <c r="H70" s="197"/>
    </row>
    <row r="71" spans="1:8" s="46" customFormat="1">
      <c r="A71" s="230">
        <f>+A68+1</f>
        <v>33</v>
      </c>
      <c r="B71" s="227"/>
      <c r="C71" s="197" t="s">
        <v>47</v>
      </c>
      <c r="D71" s="248"/>
      <c r="E71" s="248" t="str">
        <f>"(Note "&amp;B297&amp;" and "&amp;B$309&amp;")"</f>
        <v>(Note A and M)</v>
      </c>
      <c r="F71" s="201" t="str">
        <f>"(Attachment 4, Line "&amp;'4 - Cost Support'!A195&amp;")"</f>
        <v>(Attachment 4, Line 77)</v>
      </c>
      <c r="G71" s="737"/>
      <c r="H71" s="201">
        <f>+'4 - Cost Support'!K195</f>
        <v>0</v>
      </c>
    </row>
    <row r="72" spans="1:8">
      <c r="A72" s="230"/>
      <c r="B72" s="230"/>
      <c r="D72" s="248"/>
      <c r="E72" s="228"/>
      <c r="G72" s="750"/>
    </row>
    <row r="73" spans="1:8">
      <c r="A73" s="230">
        <f>+A71+1</f>
        <v>34</v>
      </c>
      <c r="B73" s="242" t="s">
        <v>48</v>
      </c>
      <c r="D73" s="269"/>
      <c r="E73" s="248" t="str">
        <f>"(Note "&amp;B$298&amp;" &amp; "&amp;B$308&amp;")"</f>
        <v>(Note B &amp; L)</v>
      </c>
      <c r="F73" s="201" t="str">
        <f>"(Attachment 4, Line "&amp;'4 - Cost Support'!A40&amp;")"</f>
        <v>(Attachment 4, Line 17)</v>
      </c>
      <c r="H73" s="201">
        <f>'4 - Cost Support'!S40</f>
        <v>42369</v>
      </c>
    </row>
    <row r="74" spans="1:8">
      <c r="A74" s="230"/>
      <c r="B74" s="230"/>
      <c r="D74" s="248"/>
      <c r="E74" s="228"/>
      <c r="G74" s="750"/>
    </row>
    <row r="75" spans="1:8">
      <c r="A75" s="230"/>
      <c r="B75" s="243" t="s">
        <v>49</v>
      </c>
      <c r="C75" s="228"/>
      <c r="F75" s="270"/>
      <c r="G75" s="750"/>
    </row>
    <row r="76" spans="1:8">
      <c r="A76" s="230">
        <f>+A73+1</f>
        <v>35</v>
      </c>
      <c r="B76" s="271"/>
      <c r="C76" s="228" t="s">
        <v>50</v>
      </c>
      <c r="D76" s="248"/>
      <c r="E76" s="248" t="str">
        <f>"(Note "&amp;B$297&amp;")"</f>
        <v>(Note A)</v>
      </c>
      <c r="F76" s="201" t="str">
        <f>"(Attachment 4, Line "&amp;'4 - Cost Support'!A51&amp;")"</f>
        <v>(Attachment 4, Line 22)</v>
      </c>
      <c r="G76" s="750"/>
      <c r="H76" s="207">
        <f>+'4 - Cost Support'!T51</f>
        <v>18769623.153846152</v>
      </c>
    </row>
    <row r="77" spans="1:8">
      <c r="A77" s="230">
        <f>+A76+1</f>
        <v>36</v>
      </c>
      <c r="B77" s="271"/>
      <c r="C77" s="261" t="s">
        <v>28</v>
      </c>
      <c r="D77" s="261"/>
      <c r="E77" s="273"/>
      <c r="F77" s="204" t="str">
        <f>"(Line "&amp;A$16&amp;")"</f>
        <v>(Line 5)</v>
      </c>
      <c r="G77" s="752"/>
      <c r="H77" s="459">
        <f>+H16</f>
        <v>0.12508709030780155</v>
      </c>
    </row>
    <row r="78" spans="1:8">
      <c r="A78" s="230">
        <f>+A77+1</f>
        <v>37</v>
      </c>
      <c r="B78" s="271"/>
      <c r="C78" s="228" t="s">
        <v>51</v>
      </c>
      <c r="F78" s="201" t="str">
        <f>"(Line "&amp;A76&amp;" * Line "&amp;A77&amp;")"</f>
        <v>(Line 35 * Line 36)</v>
      </c>
      <c r="G78" s="750"/>
      <c r="H78" s="209">
        <f>H76*H77</f>
        <v>2347837.5464885565</v>
      </c>
    </row>
    <row r="79" spans="1:8">
      <c r="A79" s="230"/>
      <c r="B79" s="268"/>
      <c r="C79" s="228"/>
      <c r="F79" s="215"/>
      <c r="G79" s="750"/>
      <c r="H79" s="208"/>
    </row>
    <row r="80" spans="1:8">
      <c r="A80" s="230"/>
      <c r="B80" s="243" t="s">
        <v>52</v>
      </c>
      <c r="E80" s="272"/>
      <c r="F80" s="215"/>
      <c r="G80" s="750"/>
      <c r="H80" s="208"/>
    </row>
    <row r="81" spans="1:8">
      <c r="A81" s="230">
        <f>+A78+1</f>
        <v>38</v>
      </c>
      <c r="C81" s="197" t="s">
        <v>53</v>
      </c>
      <c r="E81" s="248" t="str">
        <f>"(Note "&amp;B$297&amp;")"</f>
        <v>(Note A)</v>
      </c>
      <c r="F81" s="201" t="str">
        <f>"(Attachment 4, Line "&amp;'4 - Cost Support'!A59&amp;")"</f>
        <v>(Attachment 4, Line 23)</v>
      </c>
      <c r="H81" s="201">
        <f>+'4 - Cost Support'!T59</f>
        <v>119007.53846153847</v>
      </c>
    </row>
    <row r="82" spans="1:8">
      <c r="A82" s="230">
        <f>+A81+1</f>
        <v>39</v>
      </c>
      <c r="B82" s="268"/>
      <c r="C82" s="261" t="s">
        <v>28</v>
      </c>
      <c r="D82" s="261"/>
      <c r="E82" s="273"/>
      <c r="F82" s="204" t="str">
        <f>"(Line "&amp;A$16&amp;")"</f>
        <v>(Line 5)</v>
      </c>
      <c r="G82" s="752"/>
      <c r="H82" s="459">
        <f>H16</f>
        <v>0.12508709030780155</v>
      </c>
    </row>
    <row r="83" spans="1:8">
      <c r="A83" s="230">
        <f>+A82+1</f>
        <v>40</v>
      </c>
      <c r="B83" s="268"/>
      <c r="C83" s="228" t="s">
        <v>54</v>
      </c>
      <c r="F83" s="201" t="str">
        <f>"(Line "&amp;A81&amp;" * Line "&amp;A82&amp;")"</f>
        <v>(Line 38 * Line 39)</v>
      </c>
      <c r="G83" s="750"/>
      <c r="H83" s="209">
        <f>H81*H82</f>
        <v>14886.306710847628</v>
      </c>
    </row>
    <row r="84" spans="1:8">
      <c r="A84" s="230"/>
      <c r="B84" s="268"/>
      <c r="C84" s="228" t="s">
        <v>55</v>
      </c>
      <c r="E84" s="248" t="str">
        <f>"(Note "&amp;B$297&amp;" &amp; "&amp;B316&amp;")"</f>
        <v>(Note A &amp; T)</v>
      </c>
      <c r="F84" s="201" t="str">
        <f>"(Attachment 4, Line "&amp;'4 - Cost Support'!A61&amp;")"</f>
        <v>(Attachment 4, Line 25)</v>
      </c>
      <c r="G84" s="750"/>
      <c r="H84" s="207">
        <f>+'4 - Cost Support'!T61</f>
        <v>1412260.4615384615</v>
      </c>
    </row>
    <row r="85" spans="1:8">
      <c r="A85" s="230">
        <f>A83+1</f>
        <v>41</v>
      </c>
      <c r="B85" s="268"/>
      <c r="C85" s="228" t="s">
        <v>56</v>
      </c>
      <c r="E85" s="248" t="str">
        <f>"(Note  "&amp;B$297&amp;" )"</f>
        <v>(Note  A )</v>
      </c>
      <c r="F85" s="204" t="str">
        <f>"(Attachment 4, Line "&amp;'4 - Cost Support'!A60&amp;")"</f>
        <v>(Attachment 4, Line 24)</v>
      </c>
      <c r="G85" s="750"/>
      <c r="H85" s="210">
        <f>+'4 - Cost Support'!T60</f>
        <v>124738.30769230769</v>
      </c>
    </row>
    <row r="86" spans="1:8" ht="27.75" customHeight="1">
      <c r="A86" s="230">
        <f>A85+1</f>
        <v>42</v>
      </c>
      <c r="B86" s="268"/>
      <c r="C86" s="249" t="s">
        <v>57</v>
      </c>
      <c r="D86" s="249"/>
      <c r="E86" s="257"/>
      <c r="F86" s="201" t="str">
        <f>"(Line "&amp;A83&amp;" + Line "&amp;A85&amp;")"</f>
        <v>(Line 40 + Line 41)</v>
      </c>
      <c r="G86" s="753"/>
      <c r="H86" s="207">
        <f>H83+H84+H85</f>
        <v>1551885.0759416169</v>
      </c>
    </row>
    <row r="87" spans="1:8" ht="27.75" customHeight="1">
      <c r="A87" s="230"/>
      <c r="B87" s="268"/>
      <c r="F87" s="201"/>
      <c r="G87" s="750"/>
      <c r="H87" s="201"/>
    </row>
    <row r="88" spans="1:8">
      <c r="A88" s="230"/>
      <c r="B88" s="243" t="s">
        <v>58</v>
      </c>
      <c r="F88" s="215"/>
      <c r="G88" s="750"/>
    </row>
    <row r="89" spans="1:8">
      <c r="A89" s="230">
        <f>+A86+1</f>
        <v>43</v>
      </c>
      <c r="B89" s="268"/>
      <c r="C89" s="228" t="s">
        <v>59</v>
      </c>
      <c r="D89" s="228"/>
      <c r="F89" s="201" t="str">
        <f>"(Line "&amp;A$144&amp;")"</f>
        <v>(Line 78)</v>
      </c>
      <c r="G89" s="750"/>
      <c r="H89" s="207">
        <f>H144</f>
        <v>21663238.141285554</v>
      </c>
    </row>
    <row r="90" spans="1:8">
      <c r="A90" s="230">
        <f>+A89+1</f>
        <v>44</v>
      </c>
      <c r="B90" s="268"/>
      <c r="C90" s="228" t="s">
        <v>60</v>
      </c>
      <c r="D90" s="228"/>
      <c r="F90" s="261"/>
      <c r="H90" s="211">
        <v>0</v>
      </c>
    </row>
    <row r="91" spans="1:8" s="9" customFormat="1">
      <c r="A91" s="230">
        <f>+A90+1</f>
        <v>45</v>
      </c>
      <c r="B91" s="262"/>
      <c r="C91" s="274" t="s">
        <v>61</v>
      </c>
      <c r="D91" s="274"/>
      <c r="E91" s="275"/>
      <c r="F91" s="201" t="str">
        <f>"(Line "&amp;A89&amp;" * Line "&amp;A90&amp;")"</f>
        <v>(Line 43 * Line 44)</v>
      </c>
      <c r="G91" s="739"/>
      <c r="H91" s="207">
        <f>H89*H90</f>
        <v>0</v>
      </c>
    </row>
    <row r="92" spans="1:8" s="9" customFormat="1">
      <c r="A92" s="230"/>
      <c r="B92" s="262"/>
      <c r="C92" s="228"/>
      <c r="D92" s="228"/>
      <c r="E92" s="227"/>
      <c r="F92" s="201"/>
      <c r="G92" s="737"/>
      <c r="H92" s="207"/>
    </row>
    <row r="93" spans="1:8" s="9" customFormat="1">
      <c r="A93" s="230"/>
      <c r="B93" s="243" t="s">
        <v>62</v>
      </c>
      <c r="C93" s="228"/>
      <c r="D93" s="228"/>
      <c r="E93" s="227"/>
      <c r="F93" s="201"/>
      <c r="G93" s="737"/>
      <c r="H93" s="207"/>
    </row>
    <row r="94" spans="1:8" s="9" customFormat="1">
      <c r="A94" s="230">
        <f>+A91+1</f>
        <v>46</v>
      </c>
      <c r="B94" s="262"/>
      <c r="C94" s="228" t="s">
        <v>63</v>
      </c>
      <c r="D94" s="228"/>
      <c r="E94" s="248" t="str">
        <f>"(Note  "&amp;B$297&amp;")"</f>
        <v>(Note  A)</v>
      </c>
      <c r="F94" s="201" t="str">
        <f>"(Attachment 4, Line "&amp;'4 - Cost Support'!A212&amp;")"</f>
        <v>(Attachment 4, Line 79)</v>
      </c>
      <c r="G94" s="737"/>
      <c r="H94" s="207">
        <f>+'4 - Cost Support'!T212</f>
        <v>0</v>
      </c>
    </row>
    <row r="95" spans="1:8" s="9" customFormat="1">
      <c r="A95" s="230">
        <f>+A94+1</f>
        <v>47</v>
      </c>
      <c r="B95" s="262"/>
      <c r="C95" s="261" t="s">
        <v>20</v>
      </c>
      <c r="D95" s="261"/>
      <c r="E95" s="386"/>
      <c r="F95" s="204" t="str">
        <f>"(Line "&amp;A$27&amp;")"</f>
        <v>(Line 12)</v>
      </c>
      <c r="G95" s="740"/>
      <c r="H95" s="458">
        <f>+H27</f>
        <v>0.26818076319772116</v>
      </c>
    </row>
    <row r="96" spans="1:8" s="9" customFormat="1">
      <c r="A96" s="230">
        <f>+A95+1</f>
        <v>48</v>
      </c>
      <c r="B96" s="262"/>
      <c r="C96" s="228" t="s">
        <v>64</v>
      </c>
      <c r="D96" s="228"/>
      <c r="E96" s="227"/>
      <c r="F96" s="201" t="str">
        <f>"(Line "&amp;A94&amp;" * Line "&amp;A95&amp;")"</f>
        <v>(Line 46 * Line 47)</v>
      </c>
      <c r="G96" s="737"/>
      <c r="H96" s="207">
        <f>+H94*H95</f>
        <v>0</v>
      </c>
    </row>
    <row r="97" spans="1:8" s="9" customFormat="1">
      <c r="A97" s="230"/>
      <c r="B97" s="262"/>
      <c r="C97" s="228"/>
      <c r="D97" s="228"/>
      <c r="E97" s="227"/>
      <c r="F97" s="201"/>
      <c r="G97" s="737"/>
      <c r="H97" s="207"/>
    </row>
    <row r="98" spans="1:8" s="9" customFormat="1">
      <c r="A98" s="230">
        <f>+A96+1</f>
        <v>49</v>
      </c>
      <c r="B98" s="262"/>
      <c r="C98" s="228" t="s">
        <v>65</v>
      </c>
      <c r="D98" s="228"/>
      <c r="E98" s="248" t="str">
        <f>"(Note  "&amp;B$297&amp;")"</f>
        <v>(Note  A)</v>
      </c>
      <c r="F98" s="201" t="str">
        <f>"(Attachment 4, Line "&amp;'4 - Cost Support'!A213&amp;")"</f>
        <v>(Attachment 4, Line 80)</v>
      </c>
      <c r="G98" s="737"/>
      <c r="H98" s="207">
        <f>+'4 - Cost Support'!T213</f>
        <v>-1275454.076923077</v>
      </c>
    </row>
    <row r="99" spans="1:8" s="9" customFormat="1">
      <c r="A99" s="230">
        <f>+A98+1</f>
        <v>50</v>
      </c>
      <c r="B99" s="262"/>
      <c r="C99" s="228" t="s">
        <v>66</v>
      </c>
      <c r="D99" s="228"/>
      <c r="E99" s="248" t="str">
        <f>"(Note  "&amp;B$297&amp;")"</f>
        <v>(Note  A)</v>
      </c>
      <c r="F99" s="201" t="str">
        <f>"(Attachment 4, Line "&amp;'4 - Cost Support'!A214&amp;")"</f>
        <v>(Attachment 4, Line 81)</v>
      </c>
      <c r="G99" s="737"/>
      <c r="H99" s="387">
        <f>+'4 - Cost Support'!T214</f>
        <v>-1738126.923076923</v>
      </c>
    </row>
    <row r="100" spans="1:8" s="9" customFormat="1">
      <c r="A100" s="230">
        <f>+A99+1</f>
        <v>51</v>
      </c>
      <c r="B100" s="262"/>
      <c r="C100" s="228" t="s">
        <v>67</v>
      </c>
      <c r="D100" s="228"/>
      <c r="E100" s="227"/>
      <c r="F100" s="201" t="str">
        <f>"(Line "&amp;A98&amp;" + Line "&amp;A99&amp;")"</f>
        <v>(Line 49 + Line 50)</v>
      </c>
      <c r="G100" s="737"/>
      <c r="H100" s="207">
        <f>+H98+H99</f>
        <v>-3013581</v>
      </c>
    </row>
    <row r="101" spans="1:8" s="9" customFormat="1">
      <c r="A101" s="230">
        <f>+A100+1</f>
        <v>52</v>
      </c>
      <c r="B101" s="262"/>
      <c r="C101" s="261" t="s">
        <v>68</v>
      </c>
      <c r="D101" s="261"/>
      <c r="E101" s="386"/>
      <c r="F101" s="204" t="str">
        <f>"(Line "&amp;A$16&amp;")"</f>
        <v>(Line 5)</v>
      </c>
      <c r="G101" s="740"/>
      <c r="H101" s="458">
        <f>+H16</f>
        <v>0.12508709030780155</v>
      </c>
    </row>
    <row r="102" spans="1:8" s="9" customFormat="1">
      <c r="A102" s="230">
        <f>+A101+1</f>
        <v>53</v>
      </c>
      <c r="B102" s="262"/>
      <c r="C102" s="228" t="s">
        <v>69</v>
      </c>
      <c r="D102" s="228"/>
      <c r="E102" s="227"/>
      <c r="F102" s="201" t="str">
        <f>"(Line "&amp;A100&amp;" * Line "&amp;A101&amp;")"</f>
        <v>(Line 51 * Line 52)</v>
      </c>
      <c r="G102" s="737"/>
      <c r="H102" s="207">
        <f>+H100*H101</f>
        <v>-376960.0786968749</v>
      </c>
    </row>
    <row r="103" spans="1:8" s="9" customFormat="1">
      <c r="A103" s="230"/>
      <c r="B103" s="262"/>
      <c r="C103" s="228"/>
      <c r="D103" s="228"/>
      <c r="E103" s="227"/>
      <c r="F103" s="201"/>
      <c r="G103" s="737"/>
      <c r="H103" s="207"/>
    </row>
    <row r="104" spans="1:8" s="9" customFormat="1">
      <c r="A104" s="230">
        <f>+A102+1</f>
        <v>54</v>
      </c>
      <c r="B104" s="262"/>
      <c r="C104" s="228" t="s">
        <v>70</v>
      </c>
      <c r="D104" s="228"/>
      <c r="E104" s="248" t="str">
        <f>"(Note  "&amp;B$297&amp;")"</f>
        <v>(Note  A)</v>
      </c>
      <c r="F104" s="201" t="str">
        <f>"(Attachment 4, Line "&amp;'4 - Cost Support'!A215&amp;")"</f>
        <v>(Attachment 4, Line 82)</v>
      </c>
      <c r="G104" s="737"/>
      <c r="H104" s="207">
        <f>+'4 - Cost Support'!T215</f>
        <v>0</v>
      </c>
    </row>
    <row r="105" spans="1:8" s="9" customFormat="1">
      <c r="A105" s="230"/>
      <c r="B105" s="262"/>
      <c r="C105" s="228"/>
      <c r="D105" s="228"/>
      <c r="E105" s="227"/>
      <c r="F105" s="201"/>
      <c r="G105" s="737"/>
      <c r="H105" s="207"/>
    </row>
    <row r="106" spans="1:8" s="9" customFormat="1">
      <c r="A106" s="230">
        <f>+A104+1</f>
        <v>55</v>
      </c>
      <c r="B106" s="243" t="s">
        <v>71</v>
      </c>
      <c r="C106" s="228"/>
      <c r="D106" s="228"/>
      <c r="E106" s="248" t="str">
        <f>"(Note  "&amp;B$308&amp;")"</f>
        <v>(Note  L)</v>
      </c>
      <c r="F106" s="201" t="str">
        <f>"(Attachment 4, Line "&amp;'4 - Cost Support'!A231&amp;")"</f>
        <v>(Attachment 4, Line 86)</v>
      </c>
      <c r="G106" s="737"/>
      <c r="H106" s="207">
        <f>+'4 - Cost Support'!T231</f>
        <v>0</v>
      </c>
    </row>
    <row r="107" spans="1:8" s="9" customFormat="1">
      <c r="A107" s="230"/>
      <c r="B107" s="262"/>
      <c r="C107" s="228"/>
      <c r="D107" s="228"/>
      <c r="E107" s="227"/>
      <c r="F107" s="197"/>
      <c r="G107" s="737"/>
      <c r="H107" s="474"/>
    </row>
    <row r="108" spans="1:8" s="9" customFormat="1">
      <c r="A108" s="230">
        <f>+A106+1</f>
        <v>56</v>
      </c>
      <c r="B108" s="243" t="s">
        <v>72</v>
      </c>
      <c r="C108" s="228"/>
      <c r="D108" s="228"/>
      <c r="E108" s="248" t="str">
        <f>"(Note  "&amp;B$297&amp;")"</f>
        <v>(Note  A)</v>
      </c>
      <c r="F108" s="201" t="str">
        <f>"(Attachment 4, Line "&amp;'4 - Cost Support'!A222&amp;")"</f>
        <v>(Attachment 4, Line 83)</v>
      </c>
      <c r="G108" s="737"/>
      <c r="H108" s="207">
        <f>+'4 - Cost Support'!T222</f>
        <v>-7522.1538461538457</v>
      </c>
    </row>
    <row r="109" spans="1:8" s="9" customFormat="1">
      <c r="A109" s="230"/>
      <c r="B109" s="243"/>
      <c r="C109" s="228"/>
      <c r="D109" s="228"/>
      <c r="E109" s="227"/>
      <c r="F109" s="201"/>
      <c r="G109" s="737"/>
      <c r="H109" s="207"/>
    </row>
    <row r="110" spans="1:8" s="9" customFormat="1">
      <c r="A110" s="230">
        <f>+A108+1</f>
        <v>57</v>
      </c>
      <c r="B110" s="243" t="s">
        <v>73</v>
      </c>
      <c r="C110" s="228"/>
      <c r="D110" s="228"/>
      <c r="E110" s="248" t="str">
        <f>"(Note  "&amp;B$297&amp;")"</f>
        <v>(Note  A)</v>
      </c>
      <c r="F110" s="201" t="str">
        <f>"(Attachment 4, Line "&amp;'4 - Cost Support'!A237&amp;")"</f>
        <v>(Attachment 4, Line 87)</v>
      </c>
      <c r="G110" s="737"/>
      <c r="H110" s="207">
        <f>+'4 - Cost Support'!T237</f>
        <v>-1342261.4652957532</v>
      </c>
    </row>
    <row r="111" spans="1:8">
      <c r="A111" s="230"/>
      <c r="H111" s="201"/>
    </row>
    <row r="112" spans="1:8" ht="64.5" customHeight="1" thickBot="1">
      <c r="A112" s="230">
        <f>+A110+1</f>
        <v>58</v>
      </c>
      <c r="B112" s="251" t="s">
        <v>74</v>
      </c>
      <c r="C112" s="251"/>
      <c r="D112" s="251"/>
      <c r="E112" s="263"/>
      <c r="F112" s="388" t="str">
        <f>"(Lines "&amp;A62&amp;" + "&amp;A65&amp;" + "&amp;A68&amp;" + "&amp;A71&amp;" + "&amp;A73&amp;" + "&amp;A78&amp;" + "&amp;A86&amp;" + "&amp;A91&amp;" + "&amp;A96&amp;" + "&amp;A102&amp;" + "&amp;A104&amp;" + "&amp;A106&amp;" + "&amp;A108&amp;" + "&amp;A110&amp;")"</f>
        <v>(Lines 30 + 31 + 32 + 33 + 34 + 37 + 42 + 45 + 48 + 53 + 54 + 55 + 56 + 57)</v>
      </c>
      <c r="G112" s="741"/>
      <c r="H112" s="546">
        <f>+H62+H65+H68+H71+H73+H78+H86+H91+H96+H102+H104+H106+H108+H110</f>
        <v>25575854.024444789</v>
      </c>
    </row>
    <row r="113" spans="1:8" ht="21" thickTop="1">
      <c r="A113" s="230"/>
      <c r="H113" s="207"/>
    </row>
    <row r="114" spans="1:8" ht="21" thickBot="1">
      <c r="A114" s="277">
        <f>+A112+1</f>
        <v>59</v>
      </c>
      <c r="B114" s="278" t="s">
        <v>75</v>
      </c>
      <c r="C114" s="278"/>
      <c r="D114" s="278"/>
      <c r="E114" s="279"/>
      <c r="F114" s="280" t="str">
        <f>"(Line "&amp;A57&amp;" + Line "&amp;A112&amp;")"</f>
        <v>(Line 29 + Line 58)</v>
      </c>
      <c r="G114" s="742"/>
      <c r="H114" s="475">
        <f>H57+H112</f>
        <v>565302864.85715544</v>
      </c>
    </row>
    <row r="116" spans="1:8">
      <c r="A116" s="244" t="s">
        <v>76</v>
      </c>
      <c r="B116" s="245"/>
      <c r="C116" s="281"/>
      <c r="D116" s="206"/>
      <c r="E116" s="246"/>
      <c r="F116" s="206"/>
      <c r="G116" s="749"/>
      <c r="H116" s="199"/>
    </row>
    <row r="117" spans="1:8">
      <c r="A117" s="197"/>
      <c r="E117" s="227"/>
      <c r="H117" s="532"/>
    </row>
    <row r="118" spans="1:8">
      <c r="A118" s="230"/>
      <c r="B118" s="242" t="s">
        <v>77</v>
      </c>
      <c r="D118" s="201"/>
      <c r="E118" s="205"/>
      <c r="G118" s="750"/>
      <c r="H118" s="201"/>
    </row>
    <row r="119" spans="1:8">
      <c r="A119" s="230">
        <f>+A114+1</f>
        <v>60</v>
      </c>
      <c r="B119" s="230"/>
      <c r="C119" s="197" t="s">
        <v>77</v>
      </c>
      <c r="E119" s="248"/>
      <c r="F119" s="201" t="str">
        <f>"(Attachment 4, Line "&amp;'4 - Cost Support'!A67&amp;")"</f>
        <v>(Attachment 4, Line 26)</v>
      </c>
      <c r="H119" s="201">
        <f>+'4 - Cost Support'!S67</f>
        <v>87667023</v>
      </c>
    </row>
    <row r="120" spans="1:8">
      <c r="A120" s="230">
        <f>+A119+1</f>
        <v>61</v>
      </c>
      <c r="B120" s="230"/>
      <c r="C120" s="197" t="s">
        <v>78</v>
      </c>
      <c r="D120" s="201"/>
      <c r="E120" s="248"/>
      <c r="F120" s="204" t="str">
        <f>"(Attachment 4, Line "&amp;'4 - Cost Support'!A70&amp;")"</f>
        <v>(Attachment 4, Line 29)</v>
      </c>
      <c r="H120" s="201">
        <f>+'4 - Cost Support'!S70</f>
        <v>78115633</v>
      </c>
    </row>
    <row r="121" spans="1:8">
      <c r="A121" s="230">
        <f>1+A120</f>
        <v>62</v>
      </c>
      <c r="C121" s="276" t="s">
        <v>77</v>
      </c>
      <c r="D121" s="249"/>
      <c r="E121" s="257"/>
      <c r="F121" s="201" t="str">
        <f>"(Lines "&amp;A119&amp;" - "&amp;A120&amp;")"</f>
        <v>(Lines 60 - 61)</v>
      </c>
      <c r="G121" s="739"/>
      <c r="H121" s="213">
        <f>+H119-H120</f>
        <v>9551390</v>
      </c>
    </row>
    <row r="122" spans="1:8">
      <c r="A122" s="230"/>
      <c r="B122" s="230"/>
      <c r="C122" s="242"/>
      <c r="E122" s="205"/>
      <c r="H122" s="214"/>
    </row>
    <row r="123" spans="1:8">
      <c r="A123" s="230"/>
      <c r="B123" s="242" t="s">
        <v>79</v>
      </c>
      <c r="E123" s="205"/>
      <c r="H123" s="214"/>
    </row>
    <row r="124" spans="1:8">
      <c r="A124" s="230">
        <f>A121+1</f>
        <v>63</v>
      </c>
      <c r="B124" s="230"/>
      <c r="C124" s="197" t="s">
        <v>80</v>
      </c>
      <c r="E124" s="248" t="str">
        <f>"(Note  "&amp;B303&amp;", "&amp;B318&amp;" &amp; "&amp;B319&amp;")"</f>
        <v>(Note  G, V &amp; W)</v>
      </c>
      <c r="F124" s="201" t="str">
        <f>"(Attachment 4, Line "&amp;'4 - Cost Support'!A83&amp;")"</f>
        <v>(Attachment 4, Line 31)</v>
      </c>
      <c r="H124" s="201">
        <f>+'4 - Cost Support'!S83</f>
        <v>79962621</v>
      </c>
    </row>
    <row r="125" spans="1:8">
      <c r="A125" s="230">
        <f t="shared" ref="A125:A131" si="0">+A124+1</f>
        <v>64</v>
      </c>
      <c r="B125" s="230"/>
      <c r="C125" s="197" t="s">
        <v>81</v>
      </c>
      <c r="D125" s="201"/>
      <c r="E125" s="248"/>
      <c r="F125" s="201" t="str">
        <f>"(Attachment 4, Line "&amp;'4 - Cost Support'!A77&amp;")"</f>
        <v>(Attachment 4, Line 30)</v>
      </c>
      <c r="H125" s="201">
        <v>0</v>
      </c>
    </row>
    <row r="126" spans="1:8">
      <c r="A126" s="230">
        <f t="shared" si="0"/>
        <v>65</v>
      </c>
      <c r="B126" s="230"/>
      <c r="C126" s="197" t="s">
        <v>82</v>
      </c>
      <c r="D126" s="201"/>
      <c r="E126" s="248" t="str">
        <f>"(Note "&amp;B$300&amp;")"</f>
        <v>(Note D)</v>
      </c>
      <c r="F126" s="201" t="str">
        <f>"(Attachment 4, Line "&amp;'4 - Cost Support'!A92&amp;")"</f>
        <v>(Attachment 4, Line 34)</v>
      </c>
      <c r="H126" s="201">
        <v>0</v>
      </c>
    </row>
    <row r="127" spans="1:8" ht="60.75">
      <c r="A127" s="230">
        <f t="shared" si="0"/>
        <v>66</v>
      </c>
      <c r="B127" s="230"/>
      <c r="C127" s="488" t="s">
        <v>83</v>
      </c>
      <c r="D127" s="201"/>
      <c r="E127" s="248" t="str">
        <f>"(Note "&amp;B311&amp;")"</f>
        <v>(Note O)</v>
      </c>
      <c r="F127" s="201" t="str">
        <f>"(Attachment 4, Line "&amp;'4 - Cost Support'!A85&amp;")"</f>
        <v>(Attachment 4, Line 33)</v>
      </c>
      <c r="H127" s="201">
        <f>+'4 - Cost Support'!S85</f>
        <v>79893540</v>
      </c>
    </row>
    <row r="128" spans="1:8" ht="40.5">
      <c r="A128" s="230">
        <f t="shared" si="0"/>
        <v>67</v>
      </c>
      <c r="B128" s="230"/>
      <c r="C128" s="197" t="s">
        <v>84</v>
      </c>
      <c r="E128" s="248" t="str">
        <f>"(Note "&amp;B$299&amp;")"</f>
        <v>(Note C)</v>
      </c>
      <c r="F128" s="698"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85</v>
      </c>
      <c r="D129" s="249"/>
      <c r="E129" s="250"/>
      <c r="F129" s="201" t="str">
        <f>"(Lines "&amp;A124&amp;" - "&amp;A125&amp;" - "&amp;A126&amp;" - "&amp;A127&amp;" - "&amp;A128&amp;")"</f>
        <v>(Lines 63 - 64 - 65 - 66 - 67)</v>
      </c>
      <c r="G129" s="739"/>
      <c r="H129" s="202">
        <f>+H124-SUM(H125:H128)</f>
        <v>69081</v>
      </c>
    </row>
    <row r="130" spans="1:8">
      <c r="A130" s="230">
        <f t="shared" si="0"/>
        <v>69</v>
      </c>
      <c r="B130" s="230"/>
      <c r="C130" s="261" t="s">
        <v>28</v>
      </c>
      <c r="D130" s="228"/>
      <c r="F130" s="255" t="str">
        <f>"(Line "&amp;A$16&amp;")"</f>
        <v>(Line 5)</v>
      </c>
      <c r="G130" s="750"/>
      <c r="H130" s="459">
        <f>H16</f>
        <v>0.12508709030780155</v>
      </c>
    </row>
    <row r="131" spans="1:8">
      <c r="A131" s="230">
        <f t="shared" si="0"/>
        <v>70</v>
      </c>
      <c r="B131" s="230"/>
      <c r="C131" s="276" t="s">
        <v>86</v>
      </c>
      <c r="D131" s="249"/>
      <c r="E131" s="250"/>
      <c r="F131" s="201" t="str">
        <f>"(Line "&amp;A129&amp;" * Line "&amp;A130&amp;")"</f>
        <v>(Line 68 * Line 69)</v>
      </c>
      <c r="G131" s="739"/>
      <c r="H131" s="216">
        <f>H129*H130</f>
        <v>8641.141285553238</v>
      </c>
    </row>
    <row r="132" spans="1:8">
      <c r="A132" s="230"/>
      <c r="B132" s="230"/>
      <c r="C132" s="242"/>
      <c r="E132" s="205"/>
      <c r="H132" s="201"/>
    </row>
    <row r="133" spans="1:8">
      <c r="A133" s="230"/>
      <c r="B133" s="242" t="s">
        <v>87</v>
      </c>
      <c r="E133" s="205"/>
      <c r="H133" s="201"/>
    </row>
    <row r="134" spans="1:8">
      <c r="A134" s="230">
        <f>+A131+1</f>
        <v>71</v>
      </c>
      <c r="B134" s="268"/>
      <c r="C134" s="228" t="s">
        <v>88</v>
      </c>
      <c r="D134" s="248"/>
      <c r="E134" s="248" t="str">
        <f>"(Note "&amp;B$301&amp;")"</f>
        <v>(Note E)</v>
      </c>
      <c r="F134" s="201" t="str">
        <f>"(Attachment 4, Line "&amp;'4 - Cost Support'!A93&amp;")"</f>
        <v>(Attachment 4, Line 35)</v>
      </c>
      <c r="H134" s="201"/>
    </row>
    <row r="135" spans="1:8">
      <c r="A135" s="230">
        <f>+A134+1</f>
        <v>72</v>
      </c>
      <c r="B135" s="268"/>
      <c r="C135" s="255" t="s">
        <v>89</v>
      </c>
      <c r="D135" s="282"/>
      <c r="E135" s="256" t="str">
        <f>"(Note "&amp;B311&amp;")"</f>
        <v>(Note O)</v>
      </c>
      <c r="F135" s="204" t="str">
        <f>"(Attachment 4, Line "&amp;'4 - Cost Support'!A84&amp;")"</f>
        <v>(Attachment 4, Line 32)</v>
      </c>
      <c r="G135" s="740"/>
      <c r="H135" s="204">
        <f>+'4 - Cost Support'!S84</f>
        <v>12103207</v>
      </c>
    </row>
    <row r="136" spans="1:8">
      <c r="A136" s="230">
        <f>+A135+1</f>
        <v>73</v>
      </c>
      <c r="B136" s="268"/>
      <c r="C136" s="228" t="s">
        <v>90</v>
      </c>
      <c r="E136" s="272"/>
      <c r="F136" s="201" t="str">
        <f>"(Line "&amp;A134&amp;" + Line "&amp;A135&amp;")"</f>
        <v>(Line 71 + Line 72)</v>
      </c>
      <c r="H136" s="207">
        <f>SUM(H134:H135)</f>
        <v>12103207</v>
      </c>
    </row>
    <row r="137" spans="1:8">
      <c r="A137" s="230"/>
      <c r="B137" s="268"/>
      <c r="C137" s="228"/>
      <c r="E137" s="272"/>
      <c r="F137" s="228"/>
      <c r="H137" s="215"/>
    </row>
    <row r="138" spans="1:8">
      <c r="A138" s="230">
        <f>+A136+1</f>
        <v>74</v>
      </c>
      <c r="B138" s="268"/>
      <c r="C138" s="228" t="s">
        <v>91</v>
      </c>
      <c r="E138" s="248"/>
      <c r="F138" s="228" t="str">
        <f>"(Line "&amp;A125&amp;")"</f>
        <v>(Line 64)</v>
      </c>
      <c r="H138" s="207">
        <f>H125</f>
        <v>0</v>
      </c>
    </row>
    <row r="139" spans="1:8">
      <c r="A139" s="230">
        <f>+A138+1</f>
        <v>75</v>
      </c>
      <c r="B139" s="230"/>
      <c r="C139" s="228" t="s">
        <v>20</v>
      </c>
      <c r="D139" s="228"/>
      <c r="F139" s="204" t="str">
        <f>"(Line "&amp;A$27&amp;")"</f>
        <v>(Line 12)</v>
      </c>
      <c r="G139" s="750"/>
      <c r="H139" s="459">
        <f>H27</f>
        <v>0.26818076319772116</v>
      </c>
    </row>
    <row r="140" spans="1:8">
      <c r="A140" s="230">
        <f>+A139+1</f>
        <v>76</v>
      </c>
      <c r="B140" s="230"/>
      <c r="C140" s="276" t="s">
        <v>64</v>
      </c>
      <c r="D140" s="249"/>
      <c r="E140" s="250"/>
      <c r="F140" s="201" t="str">
        <f>"(Line "&amp;A138&amp;" * Line "&amp;A139&amp;")"</f>
        <v>(Line 74 * Line 75)</v>
      </c>
      <c r="G140" s="753"/>
      <c r="H140" s="216">
        <f>+H138*H139</f>
        <v>0</v>
      </c>
    </row>
    <row r="141" spans="1:8">
      <c r="A141" s="230"/>
      <c r="B141" s="230"/>
      <c r="C141" s="242"/>
      <c r="E141" s="205"/>
      <c r="F141" s="201"/>
      <c r="G141" s="750"/>
      <c r="H141" s="212"/>
    </row>
    <row r="142" spans="1:8">
      <c r="A142" s="230">
        <f>+A140+1</f>
        <v>77</v>
      </c>
      <c r="B142" s="230"/>
      <c r="C142" s="242" t="s">
        <v>92</v>
      </c>
      <c r="E142" s="205"/>
      <c r="F142" s="201" t="str">
        <f>"(Lines "&amp;A131&amp;" + "&amp;A136&amp;" + "&amp;A140&amp;")"</f>
        <v>(Lines 70 + 73 + 76)</v>
      </c>
      <c r="H142" s="207">
        <f>+H131+H136+H140</f>
        <v>12111848.141285554</v>
      </c>
    </row>
    <row r="143" spans="1:8">
      <c r="A143" s="230"/>
      <c r="B143" s="230"/>
      <c r="C143" s="242"/>
      <c r="E143" s="205"/>
      <c r="F143" s="201"/>
      <c r="H143" s="201"/>
    </row>
    <row r="144" spans="1:8" ht="21" thickBot="1">
      <c r="A144" s="230">
        <f>+A142+1</f>
        <v>78</v>
      </c>
      <c r="B144" s="230"/>
      <c r="C144" s="278" t="s">
        <v>93</v>
      </c>
      <c r="D144" s="283"/>
      <c r="E144" s="284"/>
      <c r="F144" s="217" t="str">
        <f>"(Lines "&amp;A121&amp;" + "&amp;A142&amp;")"</f>
        <v>(Lines 62 + 77)</v>
      </c>
      <c r="G144" s="742"/>
      <c r="H144" s="475">
        <f>+H121+H142</f>
        <v>21663238.141285554</v>
      </c>
    </row>
    <row r="145" spans="1:8">
      <c r="B145" s="230"/>
      <c r="C145" s="242"/>
      <c r="E145" s="205"/>
      <c r="H145" s="203"/>
    </row>
    <row r="146" spans="1:8">
      <c r="A146" s="244" t="s">
        <v>94</v>
      </c>
      <c r="B146" s="245"/>
      <c r="C146" s="281"/>
      <c r="D146" s="206"/>
      <c r="E146" s="246"/>
      <c r="F146" s="206"/>
      <c r="G146" s="749"/>
      <c r="H146" s="199"/>
    </row>
    <row r="147" spans="1:8">
      <c r="A147" s="242"/>
      <c r="B147" s="230"/>
      <c r="C147" s="242"/>
      <c r="E147" s="205"/>
      <c r="H147" s="203"/>
    </row>
    <row r="148" spans="1:8">
      <c r="A148" s="230"/>
      <c r="B148" s="243" t="s">
        <v>95</v>
      </c>
      <c r="F148" s="268"/>
      <c r="H148" s="218"/>
    </row>
    <row r="149" spans="1:8">
      <c r="A149" s="230">
        <f>+A144+1</f>
        <v>79</v>
      </c>
      <c r="B149" s="268"/>
      <c r="C149" s="228" t="s">
        <v>96</v>
      </c>
      <c r="E149" s="248" t="str">
        <f>"(Note "&amp;B$303&amp;")"</f>
        <v>(Note G)</v>
      </c>
      <c r="F149" s="201" t="str">
        <f>"(Attachment 4, Line "&amp;'4 - Cost Support'!A108&amp;")"</f>
        <v>(Attachment 4, Line 38)</v>
      </c>
      <c r="H149" s="207">
        <f>+'4 - Cost Support'!S108</f>
        <v>14745519.818264062</v>
      </c>
    </row>
    <row r="150" spans="1:8">
      <c r="A150" s="230">
        <f>+A149+1</f>
        <v>80</v>
      </c>
      <c r="B150" s="268"/>
      <c r="C150" s="228" t="s">
        <v>97</v>
      </c>
      <c r="E150" s="248" t="str">
        <f>"(Note "&amp;B$309&amp;")"</f>
        <v>(Note M)</v>
      </c>
      <c r="F150" s="201" t="str">
        <f>"(Attachment 4, Line "&amp;'4 - Cost Support'!A192&amp;")"</f>
        <v>(Attachment 4, Line 75)</v>
      </c>
      <c r="H150" s="207">
        <v>0</v>
      </c>
    </row>
    <row r="151" spans="1:8">
      <c r="A151" s="230"/>
      <c r="B151" s="268"/>
      <c r="C151" s="228"/>
      <c r="E151" s="248"/>
      <c r="F151" s="228"/>
      <c r="H151" s="207"/>
    </row>
    <row r="152" spans="1:8">
      <c r="A152" s="230">
        <f>+A150+1</f>
        <v>81</v>
      </c>
      <c r="B152" s="268"/>
      <c r="C152" s="228" t="s">
        <v>98</v>
      </c>
      <c r="E152" s="248" t="str">
        <f>"(Note "&amp;B$303&amp;")"</f>
        <v>(Note G)</v>
      </c>
      <c r="F152" s="201" t="str">
        <f>"(Attachment 4, Line "&amp;'4 - Cost Support'!A109&amp;")"</f>
        <v>(Attachment 4, Line 39)</v>
      </c>
      <c r="H152" s="207">
        <f>+'4 - Cost Support'!S109</f>
        <v>2377883.6841893797</v>
      </c>
    </row>
    <row r="153" spans="1:8">
      <c r="A153" s="230">
        <f>+A152+1</f>
        <v>82</v>
      </c>
      <c r="B153" s="268"/>
      <c r="C153" s="261" t="s">
        <v>99</v>
      </c>
      <c r="D153" s="255"/>
      <c r="E153" s="256" t="str">
        <f>"(Note "&amp;B297&amp;" &amp; "&amp;B$303&amp;")"</f>
        <v>(Note A &amp; G)</v>
      </c>
      <c r="F153" s="204" t="str">
        <f>"(Attachment 4, Line "&amp;'4 - Cost Support'!A110&amp;")"</f>
        <v>(Attachment 4, Line 40)</v>
      </c>
      <c r="G153" s="740"/>
      <c r="H153" s="204">
        <f>+'4 - Cost Support'!S110</f>
        <v>6958424.4175460394</v>
      </c>
    </row>
    <row r="154" spans="1:8">
      <c r="A154" s="230">
        <f>+A153+1</f>
        <v>83</v>
      </c>
      <c r="B154" s="268"/>
      <c r="C154" s="228" t="s">
        <v>67</v>
      </c>
      <c r="F154" s="201" t="str">
        <f>"(Line "&amp;A152&amp;" + Line "&amp;A153&amp;")"</f>
        <v>(Line 81 + Line 82)</v>
      </c>
      <c r="H154" s="207">
        <f>+H152+H153</f>
        <v>9336308.1017354187</v>
      </c>
    </row>
    <row r="155" spans="1:8">
      <c r="A155" s="230">
        <f>+A154+1</f>
        <v>84</v>
      </c>
      <c r="B155" s="268"/>
      <c r="C155" s="261" t="s">
        <v>28</v>
      </c>
      <c r="D155" s="261"/>
      <c r="E155" s="273"/>
      <c r="F155" s="255" t="str">
        <f>"(Line "&amp;A$16&amp;")"</f>
        <v>(Line 5)</v>
      </c>
      <c r="G155" s="752"/>
      <c r="H155" s="458">
        <f>H16</f>
        <v>0.12508709030780155</v>
      </c>
    </row>
    <row r="156" spans="1:8">
      <c r="A156" s="230">
        <f>+A155+1</f>
        <v>85</v>
      </c>
      <c r="B156" s="268"/>
      <c r="C156" s="228" t="s">
        <v>100</v>
      </c>
      <c r="F156" s="201" t="str">
        <f>"(Line "&amp;A154&amp;" * Line "&amp;A155&amp;")"</f>
        <v>(Line 83 * Line 84)</v>
      </c>
      <c r="G156" s="750"/>
      <c r="H156" s="207">
        <f>H154*H155</f>
        <v>1167851.6146632375</v>
      </c>
    </row>
    <row r="157" spans="1:8">
      <c r="A157" s="272"/>
      <c r="B157" s="285"/>
      <c r="C157" s="228"/>
      <c r="F157" s="228"/>
      <c r="G157" s="750"/>
      <c r="H157" s="219"/>
    </row>
    <row r="158" spans="1:8" s="9" customFormat="1" ht="21" thickBot="1">
      <c r="A158" s="230">
        <f>+A156+1</f>
        <v>86</v>
      </c>
      <c r="B158" s="286" t="s">
        <v>101</v>
      </c>
      <c r="C158" s="286"/>
      <c r="D158" s="278"/>
      <c r="E158" s="279"/>
      <c r="F158" s="286" t="str">
        <f>"(Lines "&amp;A149&amp;" + "&amp;A150&amp;" + "&amp;A156&amp;")"</f>
        <v>(Lines 79 + 80 + 85)</v>
      </c>
      <c r="G158" s="742"/>
      <c r="H158" s="475">
        <f>+H149+H150+H156</f>
        <v>15913371.432927299</v>
      </c>
    </row>
    <row r="159" spans="1:8">
      <c r="H159" s="268"/>
    </row>
    <row r="160" spans="1:8">
      <c r="A160" s="244" t="s">
        <v>102</v>
      </c>
      <c r="B160" s="245"/>
      <c r="C160" s="281"/>
      <c r="D160" s="206"/>
      <c r="E160" s="287"/>
      <c r="F160" s="206"/>
      <c r="G160" s="749"/>
      <c r="H160" s="476"/>
    </row>
    <row r="161" spans="1:8">
      <c r="A161" s="266"/>
      <c r="B161" s="230"/>
      <c r="C161" s="242"/>
      <c r="E161" s="205"/>
      <c r="H161" s="477"/>
    </row>
    <row r="162" spans="1:8">
      <c r="A162" s="230">
        <f>+A158+1</f>
        <v>87</v>
      </c>
      <c r="B162" s="228" t="s">
        <v>103</v>
      </c>
      <c r="C162" s="271"/>
      <c r="E162" s="248"/>
      <c r="F162" s="201" t="str">
        <f>"(Attachment 2, Line "&amp;'2 - Other Taxes'!A29&amp;")"</f>
        <v>(Attachment 2, Line 11)</v>
      </c>
      <c r="H162" s="207">
        <f>+'2 - Other Taxes'!G29</f>
        <v>29952129.461855449</v>
      </c>
    </row>
    <row r="163" spans="1:8">
      <c r="A163" s="230"/>
      <c r="F163" s="228"/>
      <c r="H163" s="268"/>
    </row>
    <row r="164" spans="1:8" ht="21" thickBot="1">
      <c r="A164" s="230">
        <f>+A162+1</f>
        <v>88</v>
      </c>
      <c r="B164" s="278" t="s">
        <v>104</v>
      </c>
      <c r="C164" s="278"/>
      <c r="D164" s="278"/>
      <c r="E164" s="279"/>
      <c r="F164" s="280" t="str">
        <f>"(Line "&amp;A162&amp;")"</f>
        <v>(Line 87)</v>
      </c>
      <c r="G164" s="742"/>
      <c r="H164" s="475">
        <f>H162</f>
        <v>29952129.461855449</v>
      </c>
    </row>
    <row r="165" spans="1:8">
      <c r="A165" s="244" t="s">
        <v>105</v>
      </c>
      <c r="B165" s="245"/>
      <c r="C165" s="281"/>
      <c r="D165" s="206"/>
      <c r="E165" s="246"/>
      <c r="F165" s="206"/>
      <c r="G165" s="749"/>
      <c r="H165" s="199"/>
    </row>
    <row r="166" spans="1:8">
      <c r="B166" s="230"/>
      <c r="C166" s="242"/>
      <c r="E166" s="205"/>
      <c r="H166" s="532"/>
    </row>
    <row r="167" spans="1:8">
      <c r="A167" s="230">
        <f>+A164+1</f>
        <v>89</v>
      </c>
      <c r="B167" s="288" t="s">
        <v>106</v>
      </c>
      <c r="E167" s="248"/>
      <c r="F167" s="201" t="str">
        <f>"(Attachment 4, Line "&amp;'4 - Cost Support'!A132&amp;")"</f>
        <v>(Attachment 4, Line 50)</v>
      </c>
      <c r="G167" s="750"/>
      <c r="H167" s="201">
        <f>+'4 - Cost Support'!S132</f>
        <v>47126483.12979614</v>
      </c>
    </row>
    <row r="168" spans="1:8">
      <c r="A168" s="230"/>
      <c r="B168" s="230"/>
      <c r="C168" s="201"/>
      <c r="G168" s="750"/>
      <c r="H168" s="201"/>
    </row>
    <row r="169" spans="1:8">
      <c r="A169" s="230">
        <f>+A167+1</f>
        <v>90</v>
      </c>
      <c r="B169" s="288" t="s">
        <v>107</v>
      </c>
      <c r="E169" s="248"/>
      <c r="F169" s="201" t="str">
        <f>"(Attachment 4, Line "&amp;'4 - Cost Support'!A133&amp;")"</f>
        <v>(Attachment 4, Line 51)</v>
      </c>
      <c r="G169" s="750"/>
      <c r="H169" s="201">
        <f>+'4 - Cost Support'!S133</f>
        <v>0</v>
      </c>
    </row>
    <row r="170" spans="1:8">
      <c r="A170" s="230"/>
      <c r="B170" s="242" t="s">
        <v>108</v>
      </c>
      <c r="E170" s="205"/>
      <c r="F170" s="201"/>
      <c r="G170" s="750"/>
      <c r="H170" s="201"/>
    </row>
    <row r="171" spans="1:8">
      <c r="A171" s="230"/>
      <c r="B171" s="242" t="s">
        <v>109</v>
      </c>
      <c r="E171" s="205"/>
      <c r="F171" s="201"/>
      <c r="G171" s="750"/>
      <c r="H171" s="201"/>
    </row>
    <row r="172" spans="1:8">
      <c r="A172" s="230">
        <f>+A169+1</f>
        <v>91</v>
      </c>
      <c r="B172" s="230"/>
      <c r="C172" s="201" t="s">
        <v>110</v>
      </c>
      <c r="D172" s="201"/>
      <c r="E172" s="248" t="str">
        <f>"(Note "&amp;B$307&amp;")"</f>
        <v>(Note K)</v>
      </c>
      <c r="F172" s="201" t="str">
        <f>"(Attachment 4, Line "&amp;'4 - Cost Support'!A134&amp;")"</f>
        <v>(Attachment 4, Line 52)</v>
      </c>
      <c r="G172" s="750"/>
      <c r="H172" s="201">
        <f>+'4 - Cost Support'!T134</f>
        <v>-1125017494.0887322</v>
      </c>
    </row>
    <row r="173" spans="1:8">
      <c r="A173" s="230">
        <f>A172+1</f>
        <v>92</v>
      </c>
      <c r="B173" s="230"/>
      <c r="C173" s="201" t="s">
        <v>111</v>
      </c>
      <c r="D173" s="201"/>
      <c r="E173" s="248" t="str">
        <f>"(Note "&amp;B$307&amp;" )"</f>
        <v>(Note K )</v>
      </c>
      <c r="F173" s="201" t="str">
        <f>"(Attachment 4, Line "&amp;'4 - Cost Support'!A135&amp;")"</f>
        <v>(Attachment 4, Line 53)</v>
      </c>
      <c r="G173" s="750"/>
      <c r="H173" s="201">
        <f>+'4 - Cost Support'!T135</f>
        <v>40216445.299950004</v>
      </c>
    </row>
    <row r="174" spans="1:8">
      <c r="A174" s="230">
        <f>A173+1</f>
        <v>93</v>
      </c>
      <c r="B174" s="230"/>
      <c r="C174" s="201" t="s">
        <v>112</v>
      </c>
      <c r="D174" s="201"/>
      <c r="E174" s="248" t="str">
        <f>"(Note "&amp;B$307&amp;" )"</f>
        <v>(Note K )</v>
      </c>
      <c r="F174" s="201" t="str">
        <f>"(Attachment 4, Line "&amp;'4 - Cost Support'!A146&amp;")"</f>
        <v>(Attachment 4, Line 64)</v>
      </c>
      <c r="G174" s="750"/>
      <c r="H174" s="201">
        <f>+'4 - Cost Support'!T146</f>
        <v>0</v>
      </c>
    </row>
    <row r="175" spans="1:8">
      <c r="A175" s="230">
        <f>+A174+1</f>
        <v>94</v>
      </c>
      <c r="B175" s="230"/>
      <c r="C175" s="204" t="s">
        <v>113</v>
      </c>
      <c r="D175" s="204"/>
      <c r="E175" s="256" t="str">
        <f>"(Note "&amp;B$307&amp;")"</f>
        <v>(Note K)</v>
      </c>
      <c r="F175" s="204" t="str">
        <f>"(Attachment 4, Line "&amp;'4 - Cost Support'!A136&amp;")"</f>
        <v>(Attachment 4, Line 54)</v>
      </c>
      <c r="G175" s="750"/>
      <c r="H175" s="204">
        <f>+'4 - Cost Support'!T136</f>
        <v>0</v>
      </c>
    </row>
    <row r="176" spans="1:8">
      <c r="A176" s="230">
        <f>+A175+1</f>
        <v>95</v>
      </c>
      <c r="B176" s="230"/>
      <c r="C176" s="288" t="s">
        <v>109</v>
      </c>
      <c r="D176" s="201"/>
      <c r="F176" s="197" t="str">
        <f>"(Line "&amp;A172&amp;" - "&amp;A173&amp;" - "&amp;A174&amp;" - "&amp;A175&amp;")"</f>
        <v>(Line 91 - 92 - 93 - 94)</v>
      </c>
      <c r="H176" s="201">
        <f>H172-H173-H174-H175</f>
        <v>-1165233939.3886824</v>
      </c>
    </row>
    <row r="177" spans="1:8">
      <c r="A177" s="230"/>
      <c r="B177" s="230"/>
      <c r="E177" s="205"/>
      <c r="F177" s="201"/>
      <c r="H177" s="201"/>
    </row>
    <row r="178" spans="1:8">
      <c r="A178" s="230">
        <f>+A176+1</f>
        <v>96</v>
      </c>
      <c r="B178" s="230"/>
      <c r="C178" s="242" t="s">
        <v>114</v>
      </c>
      <c r="E178" s="248" t="str">
        <f>"(Note "&amp;B$307&amp;")"</f>
        <v>(Note K)</v>
      </c>
      <c r="F178" s="201" t="str">
        <f>"(Attachment 4, Line "&amp;'4 - Cost Support'!A137&amp;")"</f>
        <v>(Attachment 4, Line 55)</v>
      </c>
      <c r="G178" s="750"/>
      <c r="H178" s="201">
        <f>+'4 - Cost Support'!T137</f>
        <v>-1021728350.2230215</v>
      </c>
    </row>
    <row r="179" spans="1:8">
      <c r="A179" s="230"/>
      <c r="B179" s="230"/>
      <c r="C179" s="197" t="s">
        <v>115</v>
      </c>
      <c r="E179" s="248" t="str">
        <f>"(Note "&amp;B$307&amp;")"</f>
        <v>(Note K)</v>
      </c>
      <c r="F179" s="201" t="str">
        <f>"(Attachment 4, Line "&amp;'4 - Cost Support'!A138&amp;")"</f>
        <v>(Attachment 4, Line 56)</v>
      </c>
      <c r="G179" s="750"/>
      <c r="H179" s="201">
        <f>+'4 - Cost Support'!T138</f>
        <v>0</v>
      </c>
    </row>
    <row r="180" spans="1:8">
      <c r="A180" s="230">
        <f>+A178+1</f>
        <v>97</v>
      </c>
      <c r="B180" s="230"/>
      <c r="C180" s="197" t="s">
        <v>116</v>
      </c>
      <c r="E180" s="248" t="str">
        <f>"(Note "&amp;B$307&amp;")"</f>
        <v>(Note K)</v>
      </c>
      <c r="F180" s="201" t="str">
        <f>"(Attachment 4, Line "&amp;'4 - Cost Support'!A139&amp;")"</f>
        <v>(Attachment 4, Line 57)</v>
      </c>
      <c r="G180" s="750"/>
      <c r="H180" s="201">
        <f>+'4 - Cost Support'!T139</f>
        <v>782962.5799998804</v>
      </c>
    </row>
    <row r="181" spans="1:8">
      <c r="A181" s="230">
        <f t="shared" ref="A181:A193" si="1">+A180+1</f>
        <v>98</v>
      </c>
      <c r="B181" s="230"/>
      <c r="C181" s="197" t="s">
        <v>117</v>
      </c>
      <c r="E181" s="248" t="str">
        <f t="shared" ref="E181:E182" si="2">"(Note "&amp;B$307&amp;")"</f>
        <v>(Note K)</v>
      </c>
      <c r="F181" s="201" t="str">
        <f>"(Attachment 4, Line "&amp;'4 - Cost Support'!A140&amp;")"</f>
        <v>(Attachment 4, Line 58)</v>
      </c>
      <c r="G181" s="750"/>
      <c r="H181" s="201">
        <f>+'4 - Cost Support'!T140</f>
        <v>0</v>
      </c>
    </row>
    <row r="182" spans="1:8">
      <c r="A182" s="230">
        <f t="shared" si="1"/>
        <v>99</v>
      </c>
      <c r="B182" s="230"/>
      <c r="C182" s="197" t="s">
        <v>118</v>
      </c>
      <c r="E182" s="248" t="str">
        <f t="shared" si="2"/>
        <v>(Note K)</v>
      </c>
      <c r="F182" s="201" t="str">
        <f>"(Attachment 4, Line "&amp;'4 - Cost Support'!A141&amp;")"</f>
        <v>(Attachment 4, Line 59)</v>
      </c>
      <c r="G182" s="750"/>
      <c r="H182" s="201">
        <f>+'4 - Cost Support'!T141</f>
        <v>2459510.5</v>
      </c>
    </row>
    <row r="183" spans="1:8">
      <c r="A183" s="230">
        <f t="shared" si="1"/>
        <v>100</v>
      </c>
      <c r="B183" s="230"/>
      <c r="C183" s="197" t="s">
        <v>119</v>
      </c>
      <c r="E183" s="248" t="str">
        <f>"(Note "&amp;B$307&amp;")"</f>
        <v>(Note K)</v>
      </c>
      <c r="F183" s="201" t="str">
        <f>"(Attachment 4, Line "&amp;'4 - Cost Support'!A142&amp;")"</f>
        <v>(Attachment 4, Line 60)</v>
      </c>
      <c r="G183" s="750"/>
      <c r="H183" s="201">
        <f>+'4 - Cost Support'!T142</f>
        <v>0</v>
      </c>
    </row>
    <row r="184" spans="1:8">
      <c r="A184" s="230">
        <f t="shared" si="1"/>
        <v>101</v>
      </c>
      <c r="B184" s="230"/>
      <c r="C184" s="197" t="s">
        <v>120</v>
      </c>
      <c r="D184" s="285"/>
      <c r="E184" s="248" t="str">
        <f>"(Note "&amp;B$307&amp;")"</f>
        <v>(Note K)</v>
      </c>
      <c r="F184" s="201" t="str">
        <f>"(Attachment 4, Line "&amp;'4 - Cost Support'!A143&amp;")"</f>
        <v>(Attachment 4, Line 61)</v>
      </c>
      <c r="G184" s="750"/>
      <c r="H184" s="201">
        <f>+'4 - Cost Support'!T143</f>
        <v>-621345.5</v>
      </c>
    </row>
    <row r="185" spans="1:8">
      <c r="A185" s="230">
        <f>+A184+1</f>
        <v>102</v>
      </c>
      <c r="B185" s="230"/>
      <c r="C185" s="197" t="s">
        <v>121</v>
      </c>
      <c r="D185" s="285"/>
      <c r="E185" s="248" t="str">
        <f t="shared" ref="E185:E186" si="3">"(Note "&amp;B$307&amp;")"</f>
        <v>(Note K)</v>
      </c>
      <c r="F185" s="201" t="str">
        <f>"(Attachment 4, Line "&amp;'4 - Cost Support'!A144&amp;")"</f>
        <v>(Attachment 4, Line 62)</v>
      </c>
      <c r="G185" s="750"/>
      <c r="H185" s="201">
        <f>+'4 - Cost Support'!T144</f>
        <v>0</v>
      </c>
    </row>
    <row r="186" spans="1:8">
      <c r="A186" s="230">
        <f>+A185+1</f>
        <v>103</v>
      </c>
      <c r="B186" s="230"/>
      <c r="C186" s="255" t="s">
        <v>122</v>
      </c>
      <c r="D186" s="471"/>
      <c r="E186" s="256" t="str">
        <f t="shared" si="3"/>
        <v>(Note K)</v>
      </c>
      <c r="F186" s="204" t="str">
        <f>"(Attachment 4, Line "&amp;'4 - Cost Support'!A145&amp;")"</f>
        <v>(Attachment 4, Line 63)</v>
      </c>
      <c r="G186" s="750"/>
      <c r="H186" s="204">
        <f>+'4 - Cost Support'!T145</f>
        <v>0</v>
      </c>
    </row>
    <row r="187" spans="1:8" ht="60.75">
      <c r="A187" s="230">
        <f>+A186+1</f>
        <v>104</v>
      </c>
      <c r="B187" s="230"/>
      <c r="C187" s="242" t="s">
        <v>123</v>
      </c>
      <c r="F187" s="488" t="str">
        <f>"(Line "&amp;A178&amp;" + "&amp;A180&amp;" + "&amp;A181&amp;" + "&amp;A182&amp;" + "&amp;A183&amp;" + "&amp;A184&amp;" + "&amp;A185&amp;" + "&amp;A186&amp;")"</f>
        <v>(Line 96 + 97 + 98 + 99 + 100 + 101 + 102 + 103)</v>
      </c>
      <c r="H187" s="201">
        <f>+SUM(H178:H186)</f>
        <v>-1019107222.6430216</v>
      </c>
    </row>
    <row r="188" spans="1:8">
      <c r="A188" s="230"/>
      <c r="B188" s="230"/>
      <c r="C188" s="242"/>
      <c r="F188" s="488"/>
      <c r="H188" s="201"/>
    </row>
    <row r="189" spans="1:8">
      <c r="A189" s="230"/>
      <c r="B189" s="230"/>
      <c r="C189" s="242" t="s">
        <v>124</v>
      </c>
      <c r="F189" s="488"/>
      <c r="H189" s="201"/>
    </row>
    <row r="190" spans="1:8">
      <c r="A190" s="230">
        <f>+A187+1</f>
        <v>105</v>
      </c>
      <c r="B190" s="230"/>
      <c r="C190" s="242" t="s">
        <v>125</v>
      </c>
      <c r="F190" s="201" t="str">
        <f>+"(Line "&amp;A178&amp;")"</f>
        <v>(Line 96)</v>
      </c>
      <c r="H190" s="201">
        <f>+H178</f>
        <v>-1021728350.2230215</v>
      </c>
    </row>
    <row r="191" spans="1:8">
      <c r="A191" s="230">
        <f t="shared" ref="A191" si="4">+A190+1</f>
        <v>106</v>
      </c>
      <c r="B191" s="230"/>
      <c r="C191" s="242" t="s">
        <v>126</v>
      </c>
      <c r="E191" s="248"/>
      <c r="F191" s="201" t="str">
        <f>+"(Line "&amp;A174&amp;")"</f>
        <v>(Line 93)</v>
      </c>
      <c r="H191" s="201">
        <f>+'4 - Cost Support'!T146</f>
        <v>0</v>
      </c>
    </row>
    <row r="192" spans="1:8">
      <c r="A192" s="230">
        <f t="shared" si="1"/>
        <v>107</v>
      </c>
      <c r="B192" s="230"/>
      <c r="C192" s="242" t="s">
        <v>109</v>
      </c>
      <c r="E192" s="248"/>
      <c r="F192" s="204" t="str">
        <f>+"(Line "&amp;A176&amp;")"</f>
        <v>(Line 95)</v>
      </c>
      <c r="H192" s="201">
        <f>H176</f>
        <v>-1165233939.3886824</v>
      </c>
    </row>
    <row r="193" spans="1:8">
      <c r="A193" s="230">
        <f t="shared" si="1"/>
        <v>108</v>
      </c>
      <c r="B193" s="230"/>
      <c r="C193" s="276" t="s">
        <v>127</v>
      </c>
      <c r="D193" s="249"/>
      <c r="E193" s="257"/>
      <c r="F193" s="201" t="str">
        <f>"(Line "&amp;A190&amp;" + Line"&amp;A191&amp;" + Line "&amp;A192&amp;")"</f>
        <v>(Line 105 + Line106 + Line 107)</v>
      </c>
      <c r="G193" s="753"/>
      <c r="H193" s="202">
        <f>+H190+H191+H192</f>
        <v>-2186962289.6117039</v>
      </c>
    </row>
    <row r="194" spans="1:8">
      <c r="A194" s="230"/>
      <c r="B194" s="230"/>
      <c r="G194" s="750"/>
      <c r="H194" s="205"/>
    </row>
    <row r="195" spans="1:8">
      <c r="A195" s="230">
        <f>+A193+1</f>
        <v>109</v>
      </c>
      <c r="B195" s="230"/>
      <c r="C195" s="228" t="s">
        <v>128</v>
      </c>
      <c r="D195" s="197" t="s">
        <v>129</v>
      </c>
      <c r="E195" s="248"/>
      <c r="F195" s="201" t="str">
        <f>"(Line "&amp;A190&amp;" / Line "&amp;A193&amp;")"</f>
        <v>(Line 105 / Line 108)</v>
      </c>
      <c r="G195" s="750"/>
      <c r="H195" s="478">
        <f>+H190/H193</f>
        <v>0.46719065759676626</v>
      </c>
    </row>
    <row r="196" spans="1:8">
      <c r="A196" s="230">
        <f>+A195+1</f>
        <v>110</v>
      </c>
      <c r="B196" s="230"/>
      <c r="C196" s="228" t="s">
        <v>130</v>
      </c>
      <c r="D196" s="197" t="s">
        <v>126</v>
      </c>
      <c r="E196" s="248"/>
      <c r="F196" s="201" t="str">
        <f>"(Line "&amp;A191&amp;" / Line "&amp;A193&amp;")"</f>
        <v>(Line 106 / Line 108)</v>
      </c>
      <c r="G196" s="750"/>
      <c r="H196" s="479">
        <f>+H191/H193</f>
        <v>0</v>
      </c>
    </row>
    <row r="197" spans="1:8">
      <c r="A197" s="230">
        <f>+A196+1</f>
        <v>111</v>
      </c>
      <c r="B197" s="230"/>
      <c r="C197" s="228" t="s">
        <v>131</v>
      </c>
      <c r="D197" s="197" t="s">
        <v>109</v>
      </c>
      <c r="E197" s="248"/>
      <c r="F197" s="201" t="str">
        <f>"(Line "&amp;A192&amp;" / Line "&amp;A193&amp;")"</f>
        <v>(Line 107 / Line 108)</v>
      </c>
      <c r="G197" s="750"/>
      <c r="H197" s="478">
        <f>+H192/H193</f>
        <v>0.53280934240323374</v>
      </c>
    </row>
    <row r="198" spans="1:8">
      <c r="A198" s="230"/>
      <c r="B198" s="230"/>
      <c r="C198" s="289"/>
      <c r="F198" s="201"/>
      <c r="G198" s="750"/>
      <c r="H198" s="207"/>
    </row>
    <row r="199" spans="1:8">
      <c r="A199" s="230">
        <f>+A197+1</f>
        <v>112</v>
      </c>
      <c r="B199" s="230"/>
      <c r="C199" s="289" t="s">
        <v>132</v>
      </c>
      <c r="D199" s="197" t="s">
        <v>129</v>
      </c>
      <c r="F199" s="201" t="str">
        <f>"(Line "&amp;A167&amp;" / Line "&amp;A187&amp;")"</f>
        <v>(Line 89 / Line 104)</v>
      </c>
      <c r="G199" s="750"/>
      <c r="H199" s="478">
        <f>+H167/H187*-1</f>
        <v>4.6242909561150132E-2</v>
      </c>
    </row>
    <row r="200" spans="1:8">
      <c r="A200" s="230">
        <f>+A199+1</f>
        <v>113</v>
      </c>
      <c r="B200" s="230"/>
      <c r="C200" s="289" t="s">
        <v>133</v>
      </c>
      <c r="D200" s="197" t="s">
        <v>126</v>
      </c>
      <c r="F200" s="201" t="str">
        <f>"(Line "&amp;A169&amp;" / Line "&amp;A191&amp;")"</f>
        <v>(Line 90 / Line 106)</v>
      </c>
      <c r="G200" s="750"/>
      <c r="H200" s="478">
        <f>+IF(H191=0,0,H169/H191)</f>
        <v>0</v>
      </c>
    </row>
    <row r="201" spans="1:8">
      <c r="A201" s="230">
        <f>+A200+1</f>
        <v>114</v>
      </c>
      <c r="B201" s="230"/>
      <c r="C201" s="289" t="s">
        <v>134</v>
      </c>
      <c r="D201" s="197" t="s">
        <v>109</v>
      </c>
      <c r="E201" s="248" t="str">
        <f>"(Note "&amp;B$303&amp;")"</f>
        <v>(Note G)</v>
      </c>
      <c r="F201" s="201" t="s">
        <v>135</v>
      </c>
      <c r="G201" s="750"/>
      <c r="H201" s="631">
        <v>9.8500000000000004E-2</v>
      </c>
    </row>
    <row r="202" spans="1:8">
      <c r="A202" s="230"/>
      <c r="B202" s="230"/>
      <c r="C202" s="289"/>
      <c r="F202" s="201"/>
      <c r="G202" s="750"/>
      <c r="H202" s="268"/>
    </row>
    <row r="203" spans="1:8">
      <c r="A203" s="230">
        <f>+A201+1</f>
        <v>115</v>
      </c>
      <c r="B203" s="230"/>
      <c r="C203" s="228" t="s">
        <v>136</v>
      </c>
      <c r="D203" s="197" t="s">
        <v>137</v>
      </c>
      <c r="F203" s="201" t="str">
        <f>"(Line "&amp;A195&amp;" * Line "&amp;A199&amp;")"</f>
        <v>(Line 109 * Line 112)</v>
      </c>
      <c r="G203" s="743"/>
      <c r="H203" s="479">
        <f>H195*H199</f>
        <v>2.160425532706152E-2</v>
      </c>
    </row>
    <row r="204" spans="1:8">
      <c r="A204" s="230">
        <f>+A203+1</f>
        <v>116</v>
      </c>
      <c r="B204" s="230"/>
      <c r="C204" s="228" t="s">
        <v>138</v>
      </c>
      <c r="D204" s="197" t="s">
        <v>126</v>
      </c>
      <c r="F204" s="201" t="str">
        <f>"(Line "&amp;A196&amp;" * Line "&amp;A200&amp;")"</f>
        <v>(Line 110 * Line 113)</v>
      </c>
      <c r="H204" s="479">
        <f>H196*H200</f>
        <v>0</v>
      </c>
    </row>
    <row r="205" spans="1:8">
      <c r="A205" s="230">
        <f>+A204+1</f>
        <v>117</v>
      </c>
      <c r="B205" s="273"/>
      <c r="C205" s="261" t="s">
        <v>139</v>
      </c>
      <c r="D205" s="255" t="s">
        <v>109</v>
      </c>
      <c r="E205" s="273"/>
      <c r="F205" s="204" t="str">
        <f>"(Line "&amp;A197&amp;" * Line "&amp;A201&amp;")"</f>
        <v>(Line 111 * Line 114)</v>
      </c>
      <c r="G205" s="752"/>
      <c r="H205" s="480">
        <f>H197*H201</f>
        <v>5.2481720226718528E-2</v>
      </c>
    </row>
    <row r="206" spans="1:8" s="9" customFormat="1">
      <c r="A206" s="230">
        <f>+A205+1</f>
        <v>118</v>
      </c>
      <c r="B206" s="242" t="s">
        <v>140</v>
      </c>
      <c r="C206" s="242"/>
      <c r="D206" s="242"/>
      <c r="E206" s="227"/>
      <c r="F206" s="201" t="str">
        <f>"(Lines "&amp;A203&amp;" + "&amp;A204&amp;" + "&amp;A205&amp;")"</f>
        <v>(Lines 115 + 116 + 117)</v>
      </c>
      <c r="G206" s="743"/>
      <c r="H206" s="481">
        <f>SUM(H203:H205)</f>
        <v>7.4085975553780048E-2</v>
      </c>
    </row>
    <row r="207" spans="1:8" s="9" customFormat="1">
      <c r="A207" s="227"/>
      <c r="B207" s="227"/>
      <c r="C207" s="242"/>
      <c r="D207" s="242"/>
      <c r="E207" s="227"/>
      <c r="F207" s="288"/>
      <c r="G207" s="743"/>
      <c r="H207" s="482"/>
    </row>
    <row r="208" spans="1:8" ht="21" thickBot="1">
      <c r="A208" s="230">
        <f>+A206+1</f>
        <v>119</v>
      </c>
      <c r="B208" s="290" t="s">
        <v>141</v>
      </c>
      <c r="C208" s="283"/>
      <c r="D208" s="278"/>
      <c r="E208" s="291"/>
      <c r="F208" s="217" t="str">
        <f>"(Line "&amp;A114&amp;" * Line "&amp;A206&amp;")"</f>
        <v>(Line 59 * Line 118)</v>
      </c>
      <c r="G208" s="744"/>
      <c r="H208" s="475">
        <f>H114*H206</f>
        <v>41881014.226289041</v>
      </c>
    </row>
    <row r="209" spans="1:8">
      <c r="A209" s="244" t="s">
        <v>142</v>
      </c>
      <c r="B209" s="245"/>
      <c r="C209" s="281"/>
      <c r="D209" s="206"/>
      <c r="E209" s="287"/>
      <c r="F209" s="206"/>
      <c r="G209" s="749"/>
      <c r="H209" s="199"/>
    </row>
    <row r="210" spans="1:8">
      <c r="A210" s="230" t="s">
        <v>143</v>
      </c>
      <c r="B210" s="292" t="s">
        <v>144</v>
      </c>
      <c r="E210" s="205"/>
      <c r="F210" s="201"/>
      <c r="G210" s="754"/>
    </row>
    <row r="211" spans="1:8">
      <c r="A211" s="230">
        <f>+A208+1</f>
        <v>120</v>
      </c>
      <c r="B211" s="230"/>
      <c r="C211" s="197" t="s">
        <v>145</v>
      </c>
      <c r="E211" s="248"/>
      <c r="H211" s="221">
        <v>0.21</v>
      </c>
    </row>
    <row r="212" spans="1:8">
      <c r="A212" s="230">
        <f>+A211+1</f>
        <v>121</v>
      </c>
      <c r="B212" s="230"/>
      <c r="C212" s="197" t="s">
        <v>146</v>
      </c>
      <c r="D212" s="293"/>
      <c r="F212" s="201" t="str">
        <f>"(Attachment 4, Line "&amp;'4 - Cost Support'!A153&amp;")"</f>
        <v>(Attachment 4, Line 65)</v>
      </c>
      <c r="H212" s="223">
        <f>+'4 - Cost Support'!S153</f>
        <v>0</v>
      </c>
    </row>
    <row r="213" spans="1:8">
      <c r="A213" s="230">
        <f>+A212+1</f>
        <v>122</v>
      </c>
      <c r="B213" s="230"/>
      <c r="C213" s="197" t="s">
        <v>147</v>
      </c>
      <c r="D213" s="293"/>
      <c r="F213" s="201" t="str">
        <f>"(Attachment 4, Line "&amp;'4 - Cost Support'!A154&amp;")"</f>
        <v>(Attachment 4, Line 66)</v>
      </c>
      <c r="H213" s="864">
        <f>+'4 - Cost Support'!S154</f>
        <v>1.8200000000000001E-2</v>
      </c>
    </row>
    <row r="214" spans="1:8">
      <c r="A214" s="230">
        <f>+A213+1</f>
        <v>123</v>
      </c>
      <c r="B214" s="230"/>
      <c r="C214" s="197" t="s">
        <v>148</v>
      </c>
      <c r="D214" s="197" t="s">
        <v>149</v>
      </c>
      <c r="F214" s="197" t="s">
        <v>150</v>
      </c>
      <c r="H214" s="221">
        <v>0</v>
      </c>
    </row>
    <row r="215" spans="1:8">
      <c r="A215" s="230">
        <f>+A214+1</f>
        <v>124</v>
      </c>
      <c r="B215" s="230"/>
      <c r="C215" s="197" t="s">
        <v>151</v>
      </c>
      <c r="D215" s="294" t="s">
        <v>152</v>
      </c>
      <c r="H215" s="222">
        <f>+H211+H212+H213-(H212+H213)*H211-(H211*H214*H212)</f>
        <v>0.22437799999999999</v>
      </c>
    </row>
    <row r="216" spans="1:8" s="46" customFormat="1">
      <c r="A216" s="230">
        <f>A215+1</f>
        <v>125</v>
      </c>
      <c r="B216" s="197"/>
      <c r="C216" s="197" t="s">
        <v>153</v>
      </c>
      <c r="D216" s="197"/>
      <c r="E216" s="197"/>
      <c r="F216" s="197"/>
      <c r="G216" s="737"/>
      <c r="H216" s="223">
        <f>H215/(1-H215)</f>
        <v>0.28928782319222507</v>
      </c>
    </row>
    <row r="217" spans="1:8" s="46" customFormat="1">
      <c r="A217" s="230">
        <f>+A216+1</f>
        <v>126</v>
      </c>
      <c r="B217" s="197"/>
      <c r="C217" s="197" t="s">
        <v>154</v>
      </c>
      <c r="D217" s="197"/>
      <c r="E217" s="197"/>
      <c r="F217" s="197"/>
      <c r="G217" s="737"/>
      <c r="H217" s="223">
        <f>1/(1-H215)</f>
        <v>1.2892878231922251</v>
      </c>
    </row>
    <row r="218" spans="1:8">
      <c r="A218" s="230"/>
      <c r="B218" s="230"/>
      <c r="E218" s="264"/>
      <c r="G218" s="754"/>
      <c r="H218" s="222"/>
    </row>
    <row r="219" spans="1:8">
      <c r="A219" s="230"/>
      <c r="B219" s="292" t="s">
        <v>155</v>
      </c>
      <c r="E219" s="248"/>
      <c r="G219" s="754"/>
      <c r="H219" s="224"/>
    </row>
    <row r="220" spans="1:8">
      <c r="A220" s="230">
        <f>+A217+1</f>
        <v>127</v>
      </c>
      <c r="B220" s="230"/>
      <c r="C220" s="197" t="s">
        <v>156</v>
      </c>
      <c r="D220" s="205"/>
      <c r="E220" s="248"/>
      <c r="F220" s="201" t="str">
        <f>"(Attachment 4, Line "&amp;'4 - Cost Support'!A161&amp;")"</f>
        <v>(Attachment 4, Line 68)</v>
      </c>
      <c r="G220" s="754"/>
      <c r="H220" s="201">
        <f>'4 - Cost Support'!S161</f>
        <v>-2006</v>
      </c>
    </row>
    <row r="221" spans="1:8">
      <c r="A221" s="230">
        <f t="shared" ref="A221:A226" si="5">+A220+1</f>
        <v>128</v>
      </c>
      <c r="B221" s="230"/>
      <c r="C221" s="197" t="s">
        <v>157</v>
      </c>
      <c r="D221" s="205"/>
      <c r="E221" s="248"/>
      <c r="F221" s="201" t="str">
        <f>"(Attachment 4, Line "&amp;'4 - Cost Support'!A160&amp;")"</f>
        <v>(Attachment 4, Line 67)</v>
      </c>
      <c r="G221" s="754"/>
      <c r="H221" s="201">
        <f>'4 - Cost Support'!S160</f>
        <v>-32505</v>
      </c>
    </row>
    <row r="222" spans="1:8">
      <c r="A222" s="230">
        <f t="shared" si="5"/>
        <v>129</v>
      </c>
      <c r="B222" s="230"/>
      <c r="C222" s="261" t="s">
        <v>28</v>
      </c>
      <c r="D222" s="261"/>
      <c r="E222" s="273"/>
      <c r="F222" s="255" t="str">
        <f>"(Line "&amp;A$16&amp;")"</f>
        <v>(Line 5)</v>
      </c>
      <c r="G222" s="752"/>
      <c r="H222" s="458">
        <f>+H16</f>
        <v>0.12508709030780155</v>
      </c>
    </row>
    <row r="223" spans="1:8">
      <c r="A223" s="230">
        <f t="shared" si="5"/>
        <v>130</v>
      </c>
      <c r="B223" s="230"/>
      <c r="C223" s="197" t="s">
        <v>158</v>
      </c>
      <c r="F223" s="201" t="str">
        <f>"(Line "&amp;A221&amp;" * Line "&amp;A222&amp;")"</f>
        <v>(Line 128 * Line 129)</v>
      </c>
      <c r="G223" s="750"/>
      <c r="H223" s="207">
        <f>+H221*H222</f>
        <v>-4065.9558704550891</v>
      </c>
    </row>
    <row r="224" spans="1:8">
      <c r="A224" s="230">
        <f t="shared" si="5"/>
        <v>131</v>
      </c>
      <c r="B224" s="230"/>
      <c r="C224" s="197" t="s">
        <v>159</v>
      </c>
      <c r="F224" s="201" t="str">
        <f>"(Line "&amp;A220&amp;" + Line "&amp;A223&amp;")"</f>
        <v>(Line 127 + Line 130)</v>
      </c>
      <c r="G224" s="750"/>
      <c r="H224" s="207">
        <f>+H220+H223</f>
        <v>-6071.9558704550891</v>
      </c>
    </row>
    <row r="225" spans="1:8">
      <c r="A225" s="230">
        <f t="shared" si="5"/>
        <v>132</v>
      </c>
      <c r="B225" s="230"/>
      <c r="C225" s="255" t="s">
        <v>154</v>
      </c>
      <c r="D225" s="255"/>
      <c r="E225" s="273"/>
      <c r="F225" s="255" t="str">
        <f>"(Line "&amp;A217&amp;")"</f>
        <v>(Line 126)</v>
      </c>
      <c r="G225" s="755"/>
      <c r="H225" s="450">
        <f>+H217</f>
        <v>1.2892878231922251</v>
      </c>
    </row>
    <row r="226" spans="1:8">
      <c r="A226" s="230">
        <f t="shared" si="5"/>
        <v>133</v>
      </c>
      <c r="B226" s="230"/>
      <c r="C226" s="243" t="s">
        <v>160</v>
      </c>
      <c r="E226" s="248"/>
      <c r="F226" s="201" t="str">
        <f>"(Line "&amp;A224&amp;" * Line "&amp;A225&amp;")"</f>
        <v>(Line 131 * Line 132)</v>
      </c>
      <c r="G226" s="750"/>
      <c r="H226" s="212">
        <f>+H224*H225</f>
        <v>-7828.4987667382948</v>
      </c>
    </row>
    <row r="227" spans="1:8">
      <c r="A227" s="230"/>
      <c r="B227" s="230"/>
      <c r="C227" s="243"/>
      <c r="E227" s="248"/>
      <c r="F227" s="201"/>
      <c r="G227" s="750"/>
      <c r="H227" s="212"/>
    </row>
    <row r="228" spans="1:8">
      <c r="A228" s="230"/>
      <c r="B228" s="243" t="s">
        <v>161</v>
      </c>
      <c r="C228" s="243"/>
      <c r="E228" s="248"/>
      <c r="F228" s="201"/>
      <c r="G228" s="750"/>
      <c r="H228" s="212"/>
    </row>
    <row r="229" spans="1:8">
      <c r="A229" s="230">
        <f>+A226+1</f>
        <v>134</v>
      </c>
      <c r="B229" s="230"/>
      <c r="C229" s="197" t="s">
        <v>161</v>
      </c>
      <c r="D229" s="205"/>
      <c r="E229" s="248"/>
      <c r="F229" s="201" t="str">
        <f>"(Attachment 4, Line "&amp;'4 - Cost Support'!A162&amp;")"</f>
        <v>(Attachment 4, Line 69)</v>
      </c>
      <c r="G229" s="754"/>
      <c r="H229" s="201">
        <f>+'4 - Cost Support'!S162</f>
        <v>320451</v>
      </c>
    </row>
    <row r="230" spans="1:8">
      <c r="A230" s="230">
        <f>+A229+1</f>
        <v>135</v>
      </c>
      <c r="B230" s="230"/>
      <c r="C230" s="228" t="s">
        <v>162</v>
      </c>
      <c r="D230" s="205"/>
      <c r="E230" s="248"/>
      <c r="F230" s="201" t="str">
        <f>"(Line "&amp;A215&amp;" * Line "&amp;A229&amp;")"</f>
        <v>(Line 124 * Line 134)</v>
      </c>
      <c r="G230" s="754"/>
      <c r="H230" s="201">
        <f>+H229*H215</f>
        <v>71902.154477999997</v>
      </c>
    </row>
    <row r="231" spans="1:8">
      <c r="A231" s="230">
        <f>+A230+1</f>
        <v>136</v>
      </c>
      <c r="B231" s="230"/>
      <c r="C231" s="197" t="s">
        <v>154</v>
      </c>
      <c r="E231" s="273"/>
      <c r="F231" s="255" t="str">
        <f>"(Line "&amp;A217&amp;")"</f>
        <v>(Line 126)</v>
      </c>
      <c r="G231" s="754"/>
      <c r="H231" s="223">
        <f>+H217</f>
        <v>1.2892878231922251</v>
      </c>
    </row>
    <row r="232" spans="1:8">
      <c r="A232" s="230">
        <f>+A231+1</f>
        <v>137</v>
      </c>
      <c r="B232" s="230"/>
      <c r="C232" s="295" t="s">
        <v>163</v>
      </c>
      <c r="D232" s="249"/>
      <c r="E232" s="248"/>
      <c r="F232" s="201" t="str">
        <f>"(Line "&amp;A230&amp;" * Line "&amp;A231&amp;")"</f>
        <v>(Line 135 * Line 136)</v>
      </c>
      <c r="G232" s="753"/>
      <c r="H232" s="216">
        <f>+H230*H231</f>
        <v>92702.572229771715</v>
      </c>
    </row>
    <row r="233" spans="1:8">
      <c r="A233" s="230"/>
      <c r="B233" s="230"/>
      <c r="C233" s="243"/>
      <c r="E233" s="248"/>
      <c r="F233" s="201"/>
      <c r="G233" s="750"/>
      <c r="H233" s="212"/>
    </row>
    <row r="234" spans="1:8">
      <c r="A234" s="230"/>
      <c r="B234" s="243" t="s">
        <v>164</v>
      </c>
      <c r="C234" s="243"/>
      <c r="E234" s="248"/>
      <c r="F234" s="201"/>
      <c r="G234" s="750"/>
      <c r="H234" s="212"/>
    </row>
    <row r="235" spans="1:8">
      <c r="A235" s="230">
        <f>+A232+1</f>
        <v>138</v>
      </c>
      <c r="B235" s="230"/>
      <c r="C235" s="228" t="s">
        <v>165</v>
      </c>
      <c r="E235" s="248" t="str">
        <f>"(Note "&amp;B310&amp;")"</f>
        <v>(Note N)</v>
      </c>
      <c r="F235" s="201" t="str">
        <f>"(Attachment 4, Line "&amp;'4 - Cost Support'!A203&amp;")"</f>
        <v>(Attachment 4, Line 78)</v>
      </c>
      <c r="G235" s="776"/>
      <c r="H235" s="207">
        <f>+'4 - Cost Support'!R203</f>
        <v>-2801311.8514752002</v>
      </c>
    </row>
    <row r="236" spans="1:8">
      <c r="A236" s="230">
        <f>+A235+1</f>
        <v>139</v>
      </c>
      <c r="B236" s="230"/>
      <c r="C236" s="197" t="s">
        <v>154</v>
      </c>
      <c r="E236" s="256"/>
      <c r="F236" s="255" t="str">
        <f>+F225</f>
        <v>(Line 126)</v>
      </c>
      <c r="G236" s="754"/>
      <c r="H236" s="223">
        <f>+H217</f>
        <v>1.2892878231922251</v>
      </c>
    </row>
    <row r="237" spans="1:8">
      <c r="A237" s="230">
        <f>+A236+1</f>
        <v>140</v>
      </c>
      <c r="B237" s="230"/>
      <c r="C237" s="295" t="s">
        <v>166</v>
      </c>
      <c r="D237" s="249"/>
      <c r="E237" s="248"/>
      <c r="F237" s="201" t="str">
        <f>"(Line "&amp;A235&amp;" * Line "&amp;A236&amp;")"</f>
        <v>(Line 138 * Line 139)</v>
      </c>
      <c r="G237" s="753"/>
      <c r="H237" s="216">
        <f>+H235*H236</f>
        <v>-3611697.2590710428</v>
      </c>
    </row>
    <row r="238" spans="1:8" ht="67.5" customHeight="1">
      <c r="A238" s="230">
        <f>+A237+1</f>
        <v>141</v>
      </c>
      <c r="B238" s="242" t="s">
        <v>167</v>
      </c>
      <c r="D238" s="488" t="s">
        <v>168</v>
      </c>
      <c r="E238" s="205"/>
      <c r="F238" s="489" t="str">
        <f>"(Line "&amp;A216&amp;" * Line "&amp;A114&amp;" * (Line "&amp;A204&amp;" + Line "&amp;A205&amp;"))"</f>
        <v>(Line 125 * Line 59 * (Line 116 + Line 117))</v>
      </c>
      <c r="H238" s="212">
        <f>+H216*H114*(H204+H205)</f>
        <v>8582610.4619665593</v>
      </c>
    </row>
    <row r="239" spans="1:8" ht="21" thickBot="1">
      <c r="A239" s="230">
        <f>+A238+1</f>
        <v>142</v>
      </c>
      <c r="B239" s="296" t="s">
        <v>169</v>
      </c>
      <c r="C239" s="296"/>
      <c r="D239" s="251"/>
      <c r="E239" s="263"/>
      <c r="F239" s="297" t="str">
        <f>"(Line "&amp;A226&amp;" + Line "&amp;A232&amp;" + Line "&amp;A237&amp;" + Line "&amp;A238&amp;")"</f>
        <v>(Line 133 + Line 137 + Line 140 + Line 141)</v>
      </c>
      <c r="G239" s="745"/>
      <c r="H239" s="547">
        <f>H226+H232+H237+H238</f>
        <v>5055787.2763585504</v>
      </c>
    </row>
    <row r="240" spans="1:8" ht="21" thickTop="1">
      <c r="A240" s="230"/>
      <c r="B240" s="230"/>
      <c r="C240" s="294"/>
      <c r="F240" s="207"/>
      <c r="G240" s="754"/>
      <c r="H240" s="220"/>
    </row>
    <row r="241" spans="1:8">
      <c r="A241" s="244" t="s">
        <v>170</v>
      </c>
      <c r="B241" s="245"/>
      <c r="C241" s="281"/>
      <c r="D241" s="206"/>
      <c r="E241" s="246"/>
      <c r="F241" s="206"/>
      <c r="G241" s="749"/>
      <c r="H241" s="199"/>
    </row>
    <row r="242" spans="1:8">
      <c r="A242" s="230"/>
      <c r="H242" s="532"/>
    </row>
    <row r="243" spans="1:8">
      <c r="A243" s="230"/>
      <c r="B243" s="242" t="s">
        <v>171</v>
      </c>
    </row>
    <row r="244" spans="1:8">
      <c r="A244" s="230">
        <f>+A239+1</f>
        <v>143</v>
      </c>
      <c r="C244" s="197" t="s">
        <v>172</v>
      </c>
      <c r="F244" s="201" t="str">
        <f>"(Line "&amp;A57&amp;")"</f>
        <v>(Line 29)</v>
      </c>
      <c r="H244" s="207">
        <f>H57</f>
        <v>539727010.83271062</v>
      </c>
    </row>
    <row r="245" spans="1:8">
      <c r="A245" s="230">
        <f>+A244+1</f>
        <v>144</v>
      </c>
      <c r="C245" s="197" t="s">
        <v>74</v>
      </c>
      <c r="F245" s="204" t="str">
        <f>"(Line "&amp;A112&amp;")"</f>
        <v>(Line 58)</v>
      </c>
      <c r="H245" s="207">
        <f>H112</f>
        <v>25575854.024444789</v>
      </c>
    </row>
    <row r="246" spans="1:8">
      <c r="A246" s="230">
        <f>+A245+1</f>
        <v>145</v>
      </c>
      <c r="B246" s="230"/>
      <c r="C246" s="276" t="s">
        <v>75</v>
      </c>
      <c r="D246" s="276"/>
      <c r="E246" s="298"/>
      <c r="F246" s="201" t="str">
        <f>"(Line "&amp;A114&amp;")"</f>
        <v>(Line 59)</v>
      </c>
      <c r="G246" s="739"/>
      <c r="H246" s="216">
        <f>SUM(H244:H245)</f>
        <v>565302864.85715544</v>
      </c>
    </row>
    <row r="247" spans="1:8">
      <c r="A247" s="230"/>
      <c r="B247" s="230"/>
      <c r="E247" s="205"/>
      <c r="H247" s="207"/>
    </row>
    <row r="248" spans="1:8">
      <c r="A248" s="230">
        <f>+A246+1</f>
        <v>146</v>
      </c>
      <c r="C248" s="197" t="s">
        <v>173</v>
      </c>
      <c r="F248" s="201" t="str">
        <f>"(Line "&amp;A144&amp;")"</f>
        <v>(Line 78)</v>
      </c>
      <c r="H248" s="207">
        <f>H144</f>
        <v>21663238.141285554</v>
      </c>
    </row>
    <row r="249" spans="1:8">
      <c r="A249" s="230">
        <f>+A248+1</f>
        <v>147</v>
      </c>
      <c r="C249" s="228" t="s">
        <v>101</v>
      </c>
      <c r="F249" s="201" t="str">
        <f>"(Line "&amp;A158&amp;")"</f>
        <v>(Line 86)</v>
      </c>
      <c r="H249" s="207">
        <f>H158</f>
        <v>15913371.432927299</v>
      </c>
    </row>
    <row r="250" spans="1:8">
      <c r="A250" s="230">
        <f>+A249+1</f>
        <v>148</v>
      </c>
      <c r="B250" s="230"/>
      <c r="C250" s="197" t="s">
        <v>174</v>
      </c>
      <c r="E250" s="205"/>
      <c r="F250" s="201" t="str">
        <f>"(Line "&amp;A164&amp;")"</f>
        <v>(Line 88)</v>
      </c>
      <c r="H250" s="207">
        <f>H164</f>
        <v>29952129.461855449</v>
      </c>
    </row>
    <row r="251" spans="1:8">
      <c r="A251" s="230">
        <f>+A250+1</f>
        <v>149</v>
      </c>
      <c r="B251" s="230"/>
      <c r="C251" s="294" t="s">
        <v>175</v>
      </c>
      <c r="E251" s="205"/>
      <c r="F251" s="201" t="str">
        <f>"(Line "&amp;A208&amp;")"</f>
        <v>(Line 119)</v>
      </c>
      <c r="H251" s="207">
        <f>H208</f>
        <v>41881014.226289041</v>
      </c>
    </row>
    <row r="252" spans="1:8">
      <c r="A252" s="230">
        <f>+A251+1</f>
        <v>150</v>
      </c>
      <c r="B252" s="230"/>
      <c r="C252" s="294" t="s">
        <v>176</v>
      </c>
      <c r="E252" s="205"/>
      <c r="F252" s="201" t="str">
        <f>"(Line "&amp;A239&amp;")"</f>
        <v>(Line 142)</v>
      </c>
      <c r="H252" s="207">
        <f>H239</f>
        <v>5055787.2763585504</v>
      </c>
    </row>
    <row r="253" spans="1:8">
      <c r="A253" s="230"/>
      <c r="B253" s="230"/>
      <c r="C253" s="294"/>
      <c r="E253" s="205"/>
      <c r="H253" s="207"/>
    </row>
    <row r="254" spans="1:8">
      <c r="A254" s="299">
        <f>+A252+1</f>
        <v>151</v>
      </c>
      <c r="B254" s="300"/>
      <c r="C254" s="301" t="s">
        <v>177</v>
      </c>
      <c r="D254" s="301"/>
      <c r="E254" s="694" t="str">
        <f>"(Note "&amp;B317&amp;")"</f>
        <v>(Note U)</v>
      </c>
      <c r="F254" s="302" t="str">
        <f>"(Sum Lines "&amp;A248&amp;" to "&amp;A252&amp;")"</f>
        <v>(Sum Lines 146 to 150)</v>
      </c>
      <c r="G254" s="756"/>
      <c r="H254" s="483">
        <f>SUM(H248:H252)</f>
        <v>114465540.53871587</v>
      </c>
    </row>
    <row r="255" spans="1:8">
      <c r="A255" s="227"/>
      <c r="B255" s="230"/>
      <c r="C255" s="242"/>
      <c r="D255" s="242"/>
      <c r="E255" s="303"/>
      <c r="F255" s="288"/>
      <c r="H255" s="212"/>
    </row>
    <row r="256" spans="1:8">
      <c r="A256" s="227"/>
      <c r="B256" s="243" t="s">
        <v>178</v>
      </c>
      <c r="C256" s="242"/>
      <c r="D256" s="242"/>
      <c r="E256" s="303"/>
      <c r="F256" s="288"/>
      <c r="H256" s="212"/>
    </row>
    <row r="257" spans="1:9">
      <c r="A257" s="230">
        <f>+A254+1</f>
        <v>152</v>
      </c>
      <c r="B257" s="230"/>
      <c r="C257" s="197" t="str">
        <f>+C33</f>
        <v>Transmission Plant In Service</v>
      </c>
      <c r="D257" s="242"/>
      <c r="E257" s="303"/>
      <c r="F257" s="201" t="str">
        <f>"(Line "&amp;A33&amp;")"</f>
        <v>(Line 13)</v>
      </c>
      <c r="H257" s="207">
        <f>H33</f>
        <v>770607229.81683683</v>
      </c>
    </row>
    <row r="258" spans="1:9">
      <c r="A258" s="230">
        <f>+A257+1</f>
        <v>153</v>
      </c>
      <c r="B258" s="230"/>
      <c r="C258" s="255" t="s">
        <v>179</v>
      </c>
      <c r="D258" s="304"/>
      <c r="E258" s="256" t="str">
        <f>"(Note "&amp;B$297&amp;" &amp; "&amp;B$305&amp;")"</f>
        <v>(Note A &amp; I)</v>
      </c>
      <c r="F258" s="204" t="str">
        <f>"(Attachment 4, Line "&amp;'4 - Cost Support'!A168&amp;")"</f>
        <v>(Attachment 4, Line 70)</v>
      </c>
      <c r="G258" s="740"/>
      <c r="H258" s="210">
        <f>+'4 - Cost Support'!T168</f>
        <v>2464924.6153846155</v>
      </c>
    </row>
    <row r="259" spans="1:9">
      <c r="A259" s="230">
        <f>+A258+1</f>
        <v>154</v>
      </c>
      <c r="B259" s="230"/>
      <c r="C259" s="197" t="s">
        <v>180</v>
      </c>
      <c r="D259" s="242"/>
      <c r="E259" s="303"/>
      <c r="F259" s="201" t="str">
        <f>"(Line "&amp;A257&amp;" - Line "&amp;A258&amp;")"</f>
        <v>(Line 152 - Line 153)</v>
      </c>
      <c r="H259" s="207">
        <f>H257-H258</f>
        <v>768142305.20145226</v>
      </c>
    </row>
    <row r="260" spans="1:9">
      <c r="A260" s="230">
        <f>+A259+1</f>
        <v>155</v>
      </c>
      <c r="B260" s="230"/>
      <c r="C260" s="197" t="s">
        <v>181</v>
      </c>
      <c r="D260" s="242"/>
      <c r="E260" s="303"/>
      <c r="F260" s="201" t="str">
        <f>"(Line "&amp;A259&amp;" / Line "&amp;A257&amp;")"</f>
        <v>(Line 154 / Line 152)</v>
      </c>
      <c r="H260" s="858">
        <f>H259/H257</f>
        <v>0.99680132171097013</v>
      </c>
      <c r="I260" s="856"/>
    </row>
    <row r="261" spans="1:9">
      <c r="A261" s="230">
        <f>+A260+1</f>
        <v>156</v>
      </c>
      <c r="B261" s="230"/>
      <c r="C261" s="255" t="s">
        <v>182</v>
      </c>
      <c r="D261" s="304"/>
      <c r="E261" s="305"/>
      <c r="F261" s="204" t="str">
        <f>"(Line "&amp;A254&amp;")"</f>
        <v>(Line 151)</v>
      </c>
      <c r="G261" s="740"/>
      <c r="H261" s="210">
        <f>H254</f>
        <v>114465540.53871587</v>
      </c>
    </row>
    <row r="262" spans="1:9">
      <c r="A262" s="230">
        <f>+A261+1</f>
        <v>157</v>
      </c>
      <c r="B262" s="230"/>
      <c r="C262" s="242" t="s">
        <v>183</v>
      </c>
      <c r="D262" s="242"/>
      <c r="E262" s="303"/>
      <c r="F262" s="201" t="str">
        <f>"(Line "&amp;A260&amp;" * Line "&amp;A261&amp;")"</f>
        <v>(Line 155 * Line 156)</v>
      </c>
      <c r="H262" s="212">
        <f>H260*H261</f>
        <v>114099402.09935261</v>
      </c>
    </row>
    <row r="263" spans="1:9">
      <c r="A263" s="266"/>
      <c r="B263" s="230"/>
      <c r="E263" s="205"/>
      <c r="H263" s="477"/>
    </row>
    <row r="264" spans="1:9">
      <c r="A264" s="266"/>
      <c r="B264" s="243" t="s">
        <v>184</v>
      </c>
      <c r="E264" s="205"/>
      <c r="H264" s="477"/>
    </row>
    <row r="265" spans="1:9">
      <c r="A265" s="230">
        <f>+A262+1</f>
        <v>158</v>
      </c>
      <c r="C265" s="243" t="s">
        <v>185</v>
      </c>
      <c r="D265" s="285"/>
      <c r="E265" s="248"/>
      <c r="F265" s="201" t="str">
        <f>"(Attachment 3, Line "&amp;'3 - Revenue Credits'!A34&amp;")"</f>
        <v>(Attachment 3, Line 17)</v>
      </c>
      <c r="H265" s="207">
        <f>+'3 - Revenue Credits'!D34</f>
        <v>-2275450</v>
      </c>
    </row>
    <row r="266" spans="1:9" ht="21" thickBot="1">
      <c r="A266" s="230"/>
      <c r="B266" s="230"/>
      <c r="F266" s="306"/>
      <c r="H266" s="477"/>
    </row>
    <row r="267" spans="1:9" s="9" customFormat="1" ht="21" thickBot="1">
      <c r="A267" s="307">
        <f>+A265+1</f>
        <v>159</v>
      </c>
      <c r="B267" s="308"/>
      <c r="C267" s="309" t="s">
        <v>186</v>
      </c>
      <c r="D267" s="225"/>
      <c r="E267" s="310"/>
      <c r="F267" s="225" t="str">
        <f>"(Line "&amp;A262&amp;" + Line "&amp;A265&amp;")"</f>
        <v>(Line 157 + Line 158)</v>
      </c>
      <c r="G267" s="746"/>
      <c r="H267" s="484">
        <f>H262+H265</f>
        <v>111823952.09935261</v>
      </c>
    </row>
    <row r="268" spans="1:9" s="9" customFormat="1">
      <c r="A268" s="227"/>
      <c r="B268" s="242"/>
      <c r="C268" s="243"/>
      <c r="D268" s="288"/>
      <c r="E268" s="227"/>
      <c r="F268" s="288"/>
      <c r="G268" s="737"/>
      <c r="H268" s="212"/>
    </row>
    <row r="269" spans="1:9" s="9" customFormat="1">
      <c r="A269" s="244" t="s">
        <v>187</v>
      </c>
      <c r="B269" s="245"/>
      <c r="C269" s="281"/>
      <c r="D269" s="206"/>
      <c r="E269" s="246"/>
      <c r="F269" s="206"/>
      <c r="G269" s="749"/>
      <c r="H269" s="199"/>
    </row>
    <row r="270" spans="1:9">
      <c r="A270" s="266"/>
      <c r="B270" s="230"/>
      <c r="H270" s="477"/>
    </row>
    <row r="271" spans="1:9">
      <c r="A271" s="230"/>
      <c r="B271" s="242" t="s">
        <v>188</v>
      </c>
      <c r="H271" s="477"/>
    </row>
    <row r="272" spans="1:9">
      <c r="A272" s="230">
        <f>+A267+1</f>
        <v>160</v>
      </c>
      <c r="B272" s="230"/>
      <c r="C272" s="197" t="str">
        <f>+C261</f>
        <v>Gross Revenue Requirement</v>
      </c>
      <c r="F272" s="197" t="str">
        <f>"(Line "&amp;A254&amp;")"</f>
        <v>(Line 151)</v>
      </c>
      <c r="H272" s="212">
        <f>+H254</f>
        <v>114465540.53871587</v>
      </c>
    </row>
    <row r="273" spans="1:8">
      <c r="A273" s="230">
        <f>+A272+1</f>
        <v>161</v>
      </c>
      <c r="B273" s="230"/>
      <c r="C273" s="197" t="s">
        <v>189</v>
      </c>
      <c r="F273" s="197" t="str">
        <f>"(Line "&amp;A33&amp;" + Line "&amp;A46&amp;" + Line "&amp;A68&amp;")"</f>
        <v>(Line 13 + Line 21 + Line 32)</v>
      </c>
      <c r="H273" s="212">
        <f>+H33+H46+H68</f>
        <v>620177581.36363554</v>
      </c>
    </row>
    <row r="274" spans="1:8">
      <c r="A274" s="230">
        <f>+A273+1</f>
        <v>162</v>
      </c>
      <c r="B274" s="230"/>
      <c r="C274" s="197" t="s">
        <v>190</v>
      </c>
      <c r="F274" s="197" t="str">
        <f>"(Line "&amp;A272&amp;" / Line "&amp;A273&amp;")"</f>
        <v>(Line 160 / Line 161)</v>
      </c>
      <c r="H274" s="485">
        <f>H272/H273</f>
        <v>0.18456897504587486</v>
      </c>
    </row>
    <row r="275" spans="1:8">
      <c r="A275" s="230">
        <f>+A274+1</f>
        <v>163</v>
      </c>
      <c r="B275" s="230"/>
      <c r="C275" s="197" t="s">
        <v>191</v>
      </c>
      <c r="F275" s="197" t="str">
        <f>"(Line "&amp;A272&amp;" - Line "&amp;A149&amp;") / Line "&amp;A273</f>
        <v>(Line 160 - Line 79) / Line 161</v>
      </c>
      <c r="H275" s="485">
        <f>(H272-H149)/H273</f>
        <v>0.16079268860572027</v>
      </c>
    </row>
    <row r="276" spans="1:8">
      <c r="A276" s="230">
        <f>+A275+1</f>
        <v>164</v>
      </c>
      <c r="B276" s="230"/>
      <c r="C276" s="197" t="s">
        <v>192</v>
      </c>
      <c r="F276" s="197" t="str">
        <f>"(Line "&amp;A272&amp;" - Line "&amp;A149&amp;" - Line "&amp;A251&amp;" - Line "&amp;A252&amp;") / Line "&amp;A273</f>
        <v>(Line 160 - Line 79 - Line 149 - Line 150) / Line 161</v>
      </c>
      <c r="H276" s="485">
        <f>(H272-H149-H251-H252)/H273</f>
        <v>8.5109847250114071E-2</v>
      </c>
    </row>
    <row r="277" spans="1:8">
      <c r="A277" s="230"/>
      <c r="B277" s="230"/>
      <c r="H277" s="477"/>
    </row>
    <row r="278" spans="1:8">
      <c r="A278" s="230">
        <f>+A276+1</f>
        <v>165</v>
      </c>
      <c r="B278" s="230"/>
      <c r="C278" s="242" t="s">
        <v>186</v>
      </c>
      <c r="F278" s="197" t="str">
        <f>"(Line "&amp;A267&amp;")"</f>
        <v>(Line 159)</v>
      </c>
      <c r="H278" s="212">
        <f>H267</f>
        <v>111823952.09935261</v>
      </c>
    </row>
    <row r="279" spans="1:8">
      <c r="A279" s="230">
        <f t="shared" ref="A279:A284" si="6">+A278+1</f>
        <v>166</v>
      </c>
      <c r="B279" s="230"/>
      <c r="C279" s="197" t="s">
        <v>193</v>
      </c>
      <c r="E279" s="248" t="str">
        <f>"(Note "&amp;B$312&amp;")"</f>
        <v>(Note P)</v>
      </c>
      <c r="F279" s="201" t="str">
        <f>"(Attachment 6A, Line "&amp;'6A - NITS True-Up '!B40&amp;")"</f>
        <v>(Attachment 6A, Line E)</v>
      </c>
      <c r="H279" s="212">
        <f>+'6A - NITS True-Up '!I40</f>
        <v>-4099804.241384191</v>
      </c>
    </row>
    <row r="280" spans="1:8">
      <c r="A280" s="230">
        <f t="shared" si="6"/>
        <v>167</v>
      </c>
      <c r="B280" s="230"/>
      <c r="C280" s="197" t="s">
        <v>194</v>
      </c>
      <c r="E280" s="248"/>
      <c r="F280" s="489" t="str">
        <f>"(Attachment 11, Line "&amp;'11 - Corrections'!A29&amp;")"</f>
        <v>(Attachment 11, Line 11)</v>
      </c>
      <c r="H280" s="212">
        <f>+'11 - Corrections'!I29</f>
        <v>1452118.6569798747</v>
      </c>
    </row>
    <row r="281" spans="1:8">
      <c r="A281" s="230">
        <f t="shared" si="6"/>
        <v>168</v>
      </c>
      <c r="B281" s="230"/>
      <c r="C281" s="197" t="s">
        <v>195</v>
      </c>
      <c r="E281" s="248" t="str">
        <f>"(Note "&amp;B$313&amp;")"</f>
        <v>(Note Q)</v>
      </c>
      <c r="F281" s="201" t="str">
        <f>"(Attachment 7A, Line "&amp;'7A - Project ROE Adder'!A18&amp;")"</f>
        <v>(Attachment 7A, Line 9)</v>
      </c>
      <c r="H281" s="212">
        <f>+'7A - Project ROE Adder'!E18</f>
        <v>0</v>
      </c>
    </row>
    <row r="282" spans="1:8">
      <c r="A282" s="230">
        <f t="shared" si="6"/>
        <v>169</v>
      </c>
      <c r="B282" s="230"/>
      <c r="C282" s="197" t="s">
        <v>196</v>
      </c>
      <c r="E282" s="248" t="str">
        <f>"(Note "&amp;B$314&amp;")"</f>
        <v>(Note R)</v>
      </c>
      <c r="F282" s="844" t="str">
        <f>"(Attachment 7B, Line "&amp;'7B - Schedule 12 Projects'!A19&amp;")"</f>
        <v>(Attachment 7B, Line 8)</v>
      </c>
      <c r="H282" s="212">
        <f>+'7B - Schedule 12 Projects'!G19</f>
        <v>3564453.7474992983</v>
      </c>
    </row>
    <row r="283" spans="1:8">
      <c r="A283" s="230">
        <f t="shared" si="6"/>
        <v>170</v>
      </c>
      <c r="B283" s="230"/>
      <c r="C283" s="255" t="s">
        <v>197</v>
      </c>
      <c r="D283" s="460"/>
      <c r="E283" s="256" t="str">
        <f>"(Note "&amp;B$315&amp;")"</f>
        <v>(Note S)</v>
      </c>
      <c r="F283" s="204" t="str">
        <f>"(Attachment 4, Line "&amp;'4 - Cost Support'!A175</f>
        <v>(Attachment 4, Line 71</v>
      </c>
      <c r="G283" s="740"/>
      <c r="H283" s="486">
        <f>+'4 - Cost Support'!S175</f>
        <v>0</v>
      </c>
    </row>
    <row r="284" spans="1:8">
      <c r="A284" s="230">
        <f t="shared" si="6"/>
        <v>171</v>
      </c>
      <c r="B284" s="230"/>
      <c r="C284" s="242" t="s">
        <v>198</v>
      </c>
      <c r="F284" s="861" t="str">
        <f>"(Line "&amp;A278&amp;" + "&amp;A279&amp;" + "&amp;A280&amp;"+"&amp;A281&amp;" - "&amp;A282&amp;" + "&amp;A283&amp;")"</f>
        <v>(Line 165 + 166 + 167+168 - 169 + 170)</v>
      </c>
      <c r="G284" s="862"/>
      <c r="H284" s="860">
        <f>(H278+H279+H280 +H281-H282+H283)</f>
        <v>105611812.76744899</v>
      </c>
    </row>
    <row r="285" spans="1:8">
      <c r="A285" s="230"/>
      <c r="B285" s="230"/>
      <c r="H285" s="487"/>
    </row>
    <row r="286" spans="1:8">
      <c r="A286" s="230"/>
      <c r="B286" s="243" t="s">
        <v>199</v>
      </c>
      <c r="H286" s="487"/>
    </row>
    <row r="287" spans="1:8">
      <c r="A287" s="230">
        <f>+A284+1</f>
        <v>172</v>
      </c>
      <c r="B287" s="230"/>
      <c r="C287" s="197" t="s">
        <v>200</v>
      </c>
      <c r="E287" s="248" t="str">
        <f>"(Note "&amp;B$304&amp;")"</f>
        <v>(Note H)</v>
      </c>
      <c r="F287" s="201" t="str">
        <f>"(Attachment 4, Line "&amp;'4 - Cost Support'!A183&amp;")"</f>
        <v>(Attachment 4, Line 72)</v>
      </c>
      <c r="H287" s="850">
        <v>3241</v>
      </c>
    </row>
    <row r="288" spans="1:8">
      <c r="A288" s="230">
        <f>+A287+1</f>
        <v>173</v>
      </c>
      <c r="B288" s="230"/>
      <c r="C288" s="197" t="s">
        <v>201</v>
      </c>
      <c r="D288" s="231"/>
      <c r="E288" s="311"/>
      <c r="F288" s="201" t="str">
        <f>"(Line "&amp;A284&amp;" / "&amp;A287&amp;")"</f>
        <v>(Line 171 / 172)</v>
      </c>
      <c r="G288" s="757"/>
      <c r="H288" s="502">
        <f>H284/H287</f>
        <v>32586.18104518636</v>
      </c>
    </row>
    <row r="289" spans="1:8" ht="21" thickBot="1">
      <c r="A289" s="230"/>
      <c r="B289" s="230"/>
      <c r="E289" s="311"/>
      <c r="F289" s="229"/>
      <c r="G289" s="757"/>
      <c r="H289" s="226"/>
    </row>
    <row r="290" spans="1:8">
      <c r="A290" s="637">
        <f>+A288+1</f>
        <v>174</v>
      </c>
      <c r="B290" s="638"/>
      <c r="C290" s="639" t="s">
        <v>202</v>
      </c>
      <c r="D290" s="638"/>
      <c r="E290" s="638"/>
      <c r="F290" s="640" t="str">
        <f>"(Line "&amp;A288&amp;")"</f>
        <v>(Line 173)</v>
      </c>
      <c r="G290" s="747"/>
      <c r="H290" s="641">
        <f>H288</f>
        <v>32586.18104518636</v>
      </c>
    </row>
    <row r="291" spans="1:8">
      <c r="A291" s="642">
        <f>+A290+1</f>
        <v>175</v>
      </c>
      <c r="B291" s="227"/>
      <c r="C291" s="243" t="s">
        <v>203</v>
      </c>
      <c r="D291" s="227"/>
      <c r="E291" s="227"/>
      <c r="F291" s="228" t="str">
        <f>"(Line "&amp;A290&amp;" / 12)"</f>
        <v>(Line 174 / 12)</v>
      </c>
      <c r="H291" s="643">
        <f>+H290/12</f>
        <v>2715.5150870988632</v>
      </c>
    </row>
    <row r="292" spans="1:8">
      <c r="A292" s="642">
        <f t="shared" ref="A292:A293" si="7">+A291+1</f>
        <v>176</v>
      </c>
      <c r="B292" s="227"/>
      <c r="C292" s="243" t="s">
        <v>204</v>
      </c>
      <c r="D292" s="227"/>
      <c r="E292" s="227"/>
      <c r="F292" s="228" t="str">
        <f>"(Line "&amp;A290&amp;" / 52)"</f>
        <v>(Line 174 / 52)</v>
      </c>
      <c r="H292" s="643">
        <f>+H290/52</f>
        <v>626.65732779204541</v>
      </c>
    </row>
    <row r="293" spans="1:8">
      <c r="A293" s="642">
        <f t="shared" si="7"/>
        <v>177</v>
      </c>
      <c r="B293" s="227"/>
      <c r="C293" s="243" t="s">
        <v>205</v>
      </c>
      <c r="D293" s="227"/>
      <c r="E293" s="227"/>
      <c r="F293" s="228" t="str">
        <f>"(Line "&amp;A292&amp;" / 5)"</f>
        <v>(Line 176 / 5)</v>
      </c>
      <c r="H293" s="643">
        <f>+H292/5</f>
        <v>125.33146555840908</v>
      </c>
    </row>
    <row r="294" spans="1:8" ht="21" thickBot="1">
      <c r="A294" s="644">
        <f>+A293+1</f>
        <v>178</v>
      </c>
      <c r="B294" s="645"/>
      <c r="C294" s="646" t="s">
        <v>206</v>
      </c>
      <c r="D294" s="645"/>
      <c r="E294" s="645"/>
      <c r="F294" s="648" t="str">
        <f>"(Line "&amp;A292&amp;" / 7)"</f>
        <v>(Line 176 / 7)</v>
      </c>
      <c r="G294" s="748"/>
      <c r="H294" s="647">
        <f>+H292/7</f>
        <v>89.522475398863634</v>
      </c>
    </row>
    <row r="295" spans="1:8">
      <c r="A295" s="227"/>
      <c r="B295" s="227"/>
      <c r="C295" s="243"/>
      <c r="D295" s="227"/>
      <c r="E295" s="227"/>
      <c r="F295" s="227"/>
      <c r="H295" s="502"/>
    </row>
    <row r="296" spans="1:8">
      <c r="A296" s="244" t="s">
        <v>3</v>
      </c>
      <c r="B296" s="245"/>
      <c r="C296" s="281"/>
      <c r="D296" s="206"/>
      <c r="E296" s="246"/>
      <c r="F296" s="206"/>
      <c r="G296" s="749"/>
      <c r="H296" s="199"/>
    </row>
    <row r="297" spans="1:8" ht="46.5" customHeight="1">
      <c r="A297" s="227"/>
      <c r="B297" s="230" t="s">
        <v>207</v>
      </c>
      <c r="C297" s="197" t="s">
        <v>208</v>
      </c>
      <c r="E297" s="311"/>
      <c r="F297" s="229"/>
      <c r="G297" s="757"/>
      <c r="H297" s="532"/>
    </row>
    <row r="298" spans="1:8" ht="38.25" customHeight="1">
      <c r="A298" s="227"/>
      <c r="B298" s="695" t="s">
        <v>209</v>
      </c>
      <c r="C298" s="887" t="s">
        <v>210</v>
      </c>
      <c r="D298" s="887"/>
      <c r="E298" s="887"/>
      <c r="F298" s="887"/>
      <c r="G298" s="887"/>
      <c r="H298" s="887"/>
    </row>
    <row r="299" spans="1:8" ht="28.15" customHeight="1">
      <c r="A299" s="227"/>
      <c r="B299" s="695" t="s">
        <v>211</v>
      </c>
      <c r="C299" s="197" t="s">
        <v>212</v>
      </c>
      <c r="E299" s="311"/>
      <c r="F299" s="229"/>
      <c r="G299" s="757"/>
      <c r="H299" s="226"/>
    </row>
    <row r="300" spans="1:8" ht="28.15" customHeight="1">
      <c r="A300" s="227"/>
      <c r="B300" s="695" t="s">
        <v>213</v>
      </c>
      <c r="C300" s="197" t="s">
        <v>214</v>
      </c>
      <c r="E300" s="311"/>
      <c r="F300" s="229"/>
      <c r="G300" s="757"/>
      <c r="H300" s="226"/>
    </row>
    <row r="301" spans="1:8" ht="38.25" customHeight="1">
      <c r="A301" s="227"/>
      <c r="B301" s="695" t="s">
        <v>215</v>
      </c>
      <c r="C301" s="887" t="s">
        <v>216</v>
      </c>
      <c r="D301" s="887"/>
      <c r="E301" s="887"/>
      <c r="F301" s="887"/>
      <c r="G301" s="887"/>
      <c r="H301" s="887"/>
    </row>
    <row r="302" spans="1:8" ht="28.15" customHeight="1">
      <c r="A302" s="227"/>
      <c r="B302" s="695" t="s">
        <v>217</v>
      </c>
      <c r="C302" s="197" t="s">
        <v>218</v>
      </c>
      <c r="E302" s="311"/>
      <c r="F302" s="229"/>
      <c r="G302" s="757"/>
      <c r="H302" s="229"/>
    </row>
    <row r="303" spans="1:8" ht="192.75" customHeight="1">
      <c r="A303" s="227"/>
      <c r="B303" s="695" t="s">
        <v>219</v>
      </c>
      <c r="C303" s="887" t="s">
        <v>220</v>
      </c>
      <c r="D303" s="887"/>
      <c r="E303" s="887"/>
      <c r="F303" s="887"/>
      <c r="G303" s="887"/>
      <c r="H303" s="887"/>
    </row>
    <row r="304" spans="1:8" ht="65.25" customHeight="1">
      <c r="A304" s="227"/>
      <c r="B304" s="695" t="s">
        <v>221</v>
      </c>
      <c r="C304" s="887" t="s">
        <v>222</v>
      </c>
      <c r="D304" s="887"/>
      <c r="E304" s="887"/>
      <c r="F304" s="887"/>
      <c r="G304" s="887"/>
      <c r="H304" s="887"/>
    </row>
    <row r="305" spans="1:8" ht="28.15" customHeight="1">
      <c r="A305" s="230"/>
      <c r="B305" s="695" t="s">
        <v>223</v>
      </c>
      <c r="C305" s="197" t="s">
        <v>224</v>
      </c>
      <c r="E305" s="311"/>
      <c r="F305" s="229"/>
      <c r="G305" s="757"/>
      <c r="H305" s="226"/>
    </row>
    <row r="306" spans="1:8" ht="150.75" customHeight="1">
      <c r="A306" s="312"/>
      <c r="B306" s="695" t="s">
        <v>225</v>
      </c>
      <c r="C306" s="887" t="s">
        <v>226</v>
      </c>
      <c r="D306" s="887"/>
      <c r="E306" s="887"/>
      <c r="F306" s="887"/>
      <c r="G306" s="887"/>
      <c r="H306" s="887"/>
    </row>
    <row r="307" spans="1:8" ht="47.25" customHeight="1">
      <c r="B307" s="695" t="s">
        <v>227</v>
      </c>
      <c r="C307" s="887" t="s">
        <v>228</v>
      </c>
      <c r="D307" s="887"/>
      <c r="E307" s="887"/>
      <c r="F307" s="887"/>
      <c r="G307" s="887"/>
      <c r="H307" s="887"/>
    </row>
    <row r="308" spans="1:8" ht="28.15" customHeight="1">
      <c r="A308" s="227"/>
      <c r="B308" s="695" t="s">
        <v>229</v>
      </c>
      <c r="C308" s="197" t="s">
        <v>230</v>
      </c>
      <c r="E308" s="311"/>
      <c r="F308" s="229"/>
      <c r="G308" s="757"/>
      <c r="H308" s="226"/>
    </row>
    <row r="309" spans="1:8" ht="28.15" customHeight="1">
      <c r="A309" s="8"/>
      <c r="B309" s="695" t="s">
        <v>231</v>
      </c>
      <c r="C309" s="197" t="s">
        <v>232</v>
      </c>
      <c r="E309" s="311"/>
      <c r="F309" s="229"/>
      <c r="G309" s="757"/>
      <c r="H309" s="229"/>
    </row>
    <row r="310" spans="1:8" ht="72.75" customHeight="1">
      <c r="A310" s="8"/>
      <c r="B310" s="695" t="s">
        <v>233</v>
      </c>
      <c r="C310" s="887" t="s">
        <v>234</v>
      </c>
      <c r="D310" s="887"/>
      <c r="E310" s="887"/>
      <c r="F310" s="887"/>
      <c r="G310" s="887"/>
      <c r="H310" s="887"/>
    </row>
    <row r="311" spans="1:8" ht="113.25" customHeight="1">
      <c r="A311" s="8"/>
      <c r="B311" s="696" t="s">
        <v>235</v>
      </c>
      <c r="C311" s="887" t="s">
        <v>236</v>
      </c>
      <c r="D311" s="887"/>
      <c r="E311" s="887"/>
      <c r="F311" s="887"/>
      <c r="G311" s="887"/>
      <c r="H311" s="887"/>
    </row>
    <row r="312" spans="1:8" ht="52.5" customHeight="1">
      <c r="A312" s="8"/>
      <c r="B312" s="696" t="s">
        <v>237</v>
      </c>
      <c r="C312" s="887" t="s">
        <v>238</v>
      </c>
      <c r="D312" s="887"/>
      <c r="E312" s="887"/>
      <c r="F312" s="887"/>
      <c r="G312" s="887"/>
      <c r="H312" s="887"/>
    </row>
    <row r="313" spans="1:8" ht="30.6" customHeight="1">
      <c r="A313" s="8"/>
      <c r="B313" s="696" t="s">
        <v>239</v>
      </c>
      <c r="C313" s="197" t="s">
        <v>240</v>
      </c>
    </row>
    <row r="314" spans="1:8" ht="45.75" customHeight="1">
      <c r="B314" s="696" t="s">
        <v>241</v>
      </c>
      <c r="C314" s="887" t="s">
        <v>242</v>
      </c>
      <c r="D314" s="887"/>
      <c r="E314" s="887"/>
      <c r="F314" s="887"/>
      <c r="G314" s="887"/>
      <c r="H314" s="887"/>
    </row>
    <row r="315" spans="1:8" ht="23.25" customHeight="1">
      <c r="B315" s="696" t="s">
        <v>243</v>
      </c>
      <c r="C315" s="197" t="s">
        <v>244</v>
      </c>
    </row>
    <row r="316" spans="1:8" ht="44.25" customHeight="1">
      <c r="B316" s="696" t="s">
        <v>245</v>
      </c>
      <c r="C316" s="887" t="s">
        <v>246</v>
      </c>
      <c r="D316" s="887"/>
      <c r="E316" s="887"/>
      <c r="F316" s="887"/>
      <c r="G316" s="887"/>
      <c r="H316" s="887"/>
    </row>
    <row r="317" spans="1:8" ht="29.25" customHeight="1">
      <c r="B317" s="696" t="s">
        <v>247</v>
      </c>
      <c r="C317" s="46" t="s">
        <v>248</v>
      </c>
      <c r="G317" s="758"/>
      <c r="H317" s="8"/>
    </row>
    <row r="318" spans="1:8" ht="35.25" customHeight="1">
      <c r="B318" s="696" t="s">
        <v>249</v>
      </c>
      <c r="C318" s="46" t="s">
        <v>250</v>
      </c>
      <c r="G318" s="758"/>
      <c r="H318" s="8"/>
    </row>
    <row r="319" spans="1:8" ht="48.75" customHeight="1">
      <c r="A319" s="227" t="s">
        <v>251</v>
      </c>
      <c r="B319" s="696" t="s">
        <v>252</v>
      </c>
      <c r="C319" s="888" t="s">
        <v>253</v>
      </c>
      <c r="D319" s="888"/>
      <c r="E319" s="888"/>
      <c r="F319" s="888"/>
      <c r="G319" s="888"/>
      <c r="H319" s="888"/>
    </row>
    <row r="320" spans="1:8">
      <c r="B320" s="696"/>
      <c r="G320" s="758"/>
      <c r="H320" s="8"/>
    </row>
    <row r="321" spans="7:8">
      <c r="G321" s="758"/>
      <c r="H321" s="8"/>
    </row>
    <row r="322" spans="7:8">
      <c r="G322" s="758"/>
      <c r="H322" s="8"/>
    </row>
    <row r="323" spans="7:8">
      <c r="G323" s="758"/>
      <c r="H323" s="8"/>
    </row>
    <row r="324" spans="7:8">
      <c r="G324" s="758"/>
      <c r="H324" s="8"/>
    </row>
    <row r="325" spans="7:8">
      <c r="G325" s="758"/>
      <c r="H325" s="8"/>
    </row>
    <row r="326" spans="7:8">
      <c r="G326" s="758"/>
      <c r="H326" s="8"/>
    </row>
    <row r="327" spans="7:8">
      <c r="G327" s="758"/>
      <c r="H327" s="8"/>
    </row>
    <row r="328" spans="7:8">
      <c r="G328" s="758"/>
      <c r="H328" s="8"/>
    </row>
    <row r="329" spans="7:8">
      <c r="G329" s="758"/>
      <c r="H329" s="8"/>
    </row>
    <row r="330" spans="7:8">
      <c r="G330" s="758"/>
      <c r="H330" s="8"/>
    </row>
    <row r="331" spans="7:8">
      <c r="G331" s="758"/>
      <c r="H331" s="8"/>
    </row>
    <row r="332" spans="7:8">
      <c r="G332" s="758"/>
      <c r="H332" s="8"/>
    </row>
    <row r="333" spans="7:8">
      <c r="G333" s="758"/>
      <c r="H333" s="8"/>
    </row>
    <row r="334" spans="7:8">
      <c r="G334" s="758"/>
      <c r="H334" s="8"/>
    </row>
    <row r="335" spans="7:8">
      <c r="G335" s="758"/>
      <c r="H335" s="8"/>
    </row>
    <row r="336" spans="7:8">
      <c r="G336" s="758"/>
      <c r="H336" s="8"/>
    </row>
    <row r="337" spans="7:8">
      <c r="G337" s="758"/>
      <c r="H337" s="8"/>
    </row>
    <row r="338" spans="7:8">
      <c r="G338" s="758"/>
      <c r="H338" s="8"/>
    </row>
    <row r="339" spans="7:8">
      <c r="G339" s="758"/>
      <c r="H339" s="8"/>
    </row>
    <row r="340" spans="7:8">
      <c r="G340" s="758"/>
      <c r="H340" s="8"/>
    </row>
    <row r="341" spans="7:8">
      <c r="G341" s="758"/>
      <c r="H341" s="8"/>
    </row>
    <row r="342" spans="7:8">
      <c r="G342" s="758"/>
      <c r="H342" s="8"/>
    </row>
    <row r="343" spans="7:8">
      <c r="G343" s="758"/>
      <c r="H343" s="8"/>
    </row>
    <row r="344" spans="7:8">
      <c r="G344" s="758"/>
      <c r="H344" s="8"/>
    </row>
    <row r="345" spans="7:8">
      <c r="G345" s="758"/>
      <c r="H345" s="8"/>
    </row>
    <row r="346" spans="7:8">
      <c r="G346" s="758"/>
      <c r="H346" s="8"/>
    </row>
    <row r="347" spans="7:8">
      <c r="G347" s="758"/>
      <c r="H347" s="8"/>
    </row>
    <row r="348" spans="7:8">
      <c r="G348" s="758"/>
      <c r="H348" s="8"/>
    </row>
    <row r="349" spans="7:8">
      <c r="G349" s="758"/>
      <c r="H349" s="8"/>
    </row>
    <row r="350" spans="7:8">
      <c r="G350" s="758"/>
      <c r="H350" s="8"/>
    </row>
    <row r="351" spans="7:8">
      <c r="G351" s="758"/>
      <c r="H351" s="8"/>
    </row>
    <row r="352" spans="7:8">
      <c r="G352" s="758"/>
      <c r="H352" s="8"/>
    </row>
    <row r="353" spans="7:8">
      <c r="G353" s="758"/>
      <c r="H353" s="8"/>
    </row>
    <row r="354" spans="7:8">
      <c r="G354" s="758"/>
      <c r="H354" s="8"/>
    </row>
    <row r="355" spans="7:8">
      <c r="G355" s="758"/>
      <c r="H355" s="8"/>
    </row>
    <row r="356" spans="7:8">
      <c r="G356" s="758"/>
      <c r="H356" s="8"/>
    </row>
    <row r="357" spans="7:8">
      <c r="G357" s="758"/>
      <c r="H357" s="8"/>
    </row>
    <row r="358" spans="7:8">
      <c r="G358" s="758"/>
      <c r="H358" s="8"/>
    </row>
    <row r="359" spans="7:8">
      <c r="G359" s="758"/>
      <c r="H359" s="8"/>
    </row>
    <row r="360" spans="7:8">
      <c r="G360" s="758"/>
      <c r="H360" s="8"/>
    </row>
    <row r="361" spans="7:8">
      <c r="G361" s="758"/>
      <c r="H361" s="8"/>
    </row>
    <row r="362" spans="7:8">
      <c r="G362" s="758"/>
      <c r="H362" s="8"/>
    </row>
    <row r="363" spans="7:8">
      <c r="G363" s="758"/>
      <c r="H363" s="8"/>
    </row>
    <row r="364" spans="7:8">
      <c r="G364" s="758"/>
      <c r="H364" s="8"/>
    </row>
    <row r="365" spans="7:8">
      <c r="G365" s="758"/>
      <c r="H365" s="8"/>
    </row>
    <row r="366" spans="7:8">
      <c r="G366" s="758"/>
      <c r="H366" s="8"/>
    </row>
    <row r="367" spans="7:8">
      <c r="G367" s="758"/>
      <c r="H367" s="8"/>
    </row>
    <row r="368" spans="7:8">
      <c r="G368" s="758"/>
      <c r="H368" s="8"/>
    </row>
    <row r="369" spans="7:8">
      <c r="G369" s="758"/>
      <c r="H369" s="8"/>
    </row>
    <row r="370" spans="7:8">
      <c r="G370" s="758"/>
      <c r="H370" s="8"/>
    </row>
    <row r="371" spans="7:8">
      <c r="G371" s="758"/>
      <c r="H371" s="8"/>
    </row>
    <row r="372" spans="7:8">
      <c r="G372" s="758"/>
      <c r="H372" s="8"/>
    </row>
    <row r="373" spans="7:8">
      <c r="G373" s="758"/>
      <c r="H373" s="8"/>
    </row>
    <row r="374" spans="7:8">
      <c r="G374" s="758"/>
      <c r="H374" s="8"/>
    </row>
    <row r="375" spans="7:8">
      <c r="G375" s="758"/>
      <c r="H375" s="8"/>
    </row>
    <row r="376" spans="7:8">
      <c r="G376" s="758"/>
      <c r="H376" s="8"/>
    </row>
    <row r="377" spans="7:8">
      <c r="G377" s="758"/>
      <c r="H377" s="8"/>
    </row>
    <row r="378" spans="7:8">
      <c r="G378" s="758"/>
      <c r="H378" s="8"/>
    </row>
    <row r="379" spans="7:8">
      <c r="G379" s="758"/>
      <c r="H379" s="8"/>
    </row>
    <row r="380" spans="7:8">
      <c r="G380" s="758"/>
      <c r="H380" s="8"/>
    </row>
    <row r="381" spans="7:8">
      <c r="G381" s="758"/>
      <c r="H381" s="8"/>
    </row>
    <row r="382" spans="7:8">
      <c r="G382" s="758"/>
      <c r="H382" s="8"/>
    </row>
    <row r="383" spans="7:8">
      <c r="G383" s="758"/>
      <c r="H383" s="8"/>
    </row>
    <row r="384" spans="7:8">
      <c r="G384" s="758"/>
      <c r="H384" s="8"/>
    </row>
    <row r="385" spans="7:8">
      <c r="G385" s="758"/>
      <c r="H385" s="8"/>
    </row>
    <row r="386" spans="7:8">
      <c r="G386" s="758"/>
      <c r="H386" s="8"/>
    </row>
    <row r="387" spans="7:8">
      <c r="G387" s="758"/>
      <c r="H387" s="8"/>
    </row>
    <row r="388" spans="7:8">
      <c r="G388" s="758"/>
      <c r="H388" s="8"/>
    </row>
    <row r="389" spans="7:8">
      <c r="G389" s="758"/>
      <c r="H389" s="8"/>
    </row>
    <row r="390" spans="7:8">
      <c r="G390" s="758"/>
      <c r="H390" s="8"/>
    </row>
    <row r="391" spans="7:8">
      <c r="G391" s="758"/>
      <c r="H391" s="8"/>
    </row>
    <row r="392" spans="7:8">
      <c r="G392" s="758"/>
      <c r="H392" s="8"/>
    </row>
    <row r="393" spans="7:8">
      <c r="G393" s="758"/>
      <c r="H393" s="8"/>
    </row>
    <row r="394" spans="7:8">
      <c r="G394" s="758"/>
      <c r="H394" s="8"/>
    </row>
    <row r="395" spans="7:8">
      <c r="G395" s="758"/>
      <c r="H395" s="8"/>
    </row>
    <row r="396" spans="7:8">
      <c r="G396" s="758"/>
      <c r="H396" s="8"/>
    </row>
    <row r="397" spans="7:8">
      <c r="G397" s="758"/>
      <c r="H397" s="8"/>
    </row>
    <row r="398" spans="7:8">
      <c r="G398" s="758"/>
      <c r="H398" s="8"/>
    </row>
    <row r="399" spans="7:8">
      <c r="G399" s="758"/>
      <c r="H399" s="8"/>
    </row>
    <row r="400" spans="7:8">
      <c r="G400" s="758"/>
      <c r="H400" s="8"/>
    </row>
    <row r="401" spans="7:8">
      <c r="G401" s="758"/>
      <c r="H401" s="8"/>
    </row>
    <row r="402" spans="7:8">
      <c r="G402" s="758"/>
      <c r="H402" s="8"/>
    </row>
    <row r="403" spans="7:8">
      <c r="G403" s="758"/>
      <c r="H403" s="8"/>
    </row>
    <row r="404" spans="7:8">
      <c r="G404" s="758"/>
      <c r="H404" s="8"/>
    </row>
    <row r="405" spans="7:8">
      <c r="G405" s="758"/>
      <c r="H405" s="8"/>
    </row>
    <row r="406" spans="7:8">
      <c r="G406" s="758"/>
      <c r="H406" s="8"/>
    </row>
    <row r="407" spans="7:8">
      <c r="G407" s="758"/>
      <c r="H407" s="8"/>
    </row>
    <row r="408" spans="7:8">
      <c r="G408" s="758"/>
      <c r="H408" s="8"/>
    </row>
    <row r="409" spans="7:8">
      <c r="G409" s="758"/>
      <c r="H409" s="8"/>
    </row>
    <row r="410" spans="7:8">
      <c r="G410" s="758"/>
      <c r="H410" s="8"/>
    </row>
    <row r="411" spans="7:8">
      <c r="G411" s="758"/>
      <c r="H411" s="8"/>
    </row>
    <row r="412" spans="7:8">
      <c r="G412" s="758"/>
      <c r="H412" s="8"/>
    </row>
    <row r="413" spans="7:8">
      <c r="G413" s="758"/>
      <c r="H413" s="8"/>
    </row>
    <row r="414" spans="7:8">
      <c r="G414" s="758"/>
      <c r="H414" s="8"/>
    </row>
    <row r="415" spans="7:8">
      <c r="G415" s="758"/>
      <c r="H415" s="8"/>
    </row>
    <row r="416" spans="7:8">
      <c r="G416" s="758"/>
      <c r="H416" s="8"/>
    </row>
    <row r="417" spans="7:8">
      <c r="G417" s="758"/>
      <c r="H417" s="8"/>
    </row>
    <row r="418" spans="7:8">
      <c r="G418" s="758"/>
      <c r="H418" s="8"/>
    </row>
    <row r="419" spans="7:8">
      <c r="G419" s="758"/>
      <c r="H419" s="8"/>
    </row>
    <row r="420" spans="7:8">
      <c r="G420" s="758"/>
      <c r="H420" s="8"/>
    </row>
    <row r="421" spans="7:8">
      <c r="G421" s="758"/>
      <c r="H421" s="8"/>
    </row>
    <row r="422" spans="7:8">
      <c r="G422" s="758"/>
      <c r="H422" s="8"/>
    </row>
    <row r="423" spans="7:8">
      <c r="G423" s="758"/>
      <c r="H423" s="8"/>
    </row>
    <row r="424" spans="7:8">
      <c r="G424" s="758"/>
      <c r="H424" s="8"/>
    </row>
    <row r="425" spans="7:8">
      <c r="G425" s="758"/>
      <c r="H425" s="8"/>
    </row>
    <row r="426" spans="7:8">
      <c r="G426" s="758"/>
      <c r="H426" s="8"/>
    </row>
    <row r="427" spans="7:8">
      <c r="G427" s="758"/>
      <c r="H427" s="8"/>
    </row>
    <row r="428" spans="7:8">
      <c r="G428" s="758"/>
      <c r="H428" s="8"/>
    </row>
    <row r="429" spans="7:8">
      <c r="G429" s="758"/>
      <c r="H429" s="8"/>
    </row>
    <row r="430" spans="7:8">
      <c r="G430" s="758"/>
      <c r="H430" s="8"/>
    </row>
    <row r="431" spans="7:8">
      <c r="G431" s="758"/>
      <c r="H431" s="8"/>
    </row>
    <row r="432" spans="7:8">
      <c r="G432" s="758"/>
      <c r="H432" s="8"/>
    </row>
    <row r="433" spans="7:8">
      <c r="G433" s="758"/>
      <c r="H433" s="8"/>
    </row>
    <row r="434" spans="7:8">
      <c r="G434" s="758"/>
      <c r="H434" s="8"/>
    </row>
    <row r="435" spans="7:8">
      <c r="G435" s="758"/>
      <c r="H435" s="8"/>
    </row>
    <row r="436" spans="7:8">
      <c r="G436" s="758"/>
      <c r="H436" s="8"/>
    </row>
    <row r="437" spans="7:8">
      <c r="G437" s="758"/>
      <c r="H437" s="8"/>
    </row>
    <row r="438" spans="7:8">
      <c r="G438" s="758"/>
      <c r="H438" s="8"/>
    </row>
    <row r="439" spans="7:8">
      <c r="G439" s="758"/>
      <c r="H439" s="8"/>
    </row>
    <row r="440" spans="7:8">
      <c r="G440" s="758"/>
      <c r="H440" s="8"/>
    </row>
    <row r="441" spans="7:8">
      <c r="G441" s="758"/>
      <c r="H441" s="8"/>
    </row>
    <row r="442" spans="7:8">
      <c r="G442" s="758"/>
      <c r="H442" s="8"/>
    </row>
    <row r="443" spans="7:8">
      <c r="G443" s="758"/>
      <c r="H443" s="8"/>
    </row>
    <row r="444" spans="7:8">
      <c r="G444" s="758"/>
      <c r="H444" s="8"/>
    </row>
    <row r="445" spans="7:8">
      <c r="G445" s="758"/>
      <c r="H445" s="8"/>
    </row>
    <row r="446" spans="7:8">
      <c r="G446" s="758"/>
      <c r="H446" s="8"/>
    </row>
    <row r="447" spans="7:8">
      <c r="G447" s="758"/>
      <c r="H447" s="8"/>
    </row>
    <row r="448" spans="7:8">
      <c r="G448" s="758"/>
      <c r="H448" s="8"/>
    </row>
    <row r="449" spans="7:8">
      <c r="G449" s="758"/>
      <c r="H449" s="8"/>
    </row>
    <row r="450" spans="7:8">
      <c r="G450" s="758"/>
      <c r="H450" s="8"/>
    </row>
    <row r="451" spans="7:8">
      <c r="G451" s="758"/>
      <c r="H451" s="8"/>
    </row>
    <row r="452" spans="7:8">
      <c r="G452" s="758"/>
      <c r="H452" s="8"/>
    </row>
    <row r="453" spans="7:8">
      <c r="G453" s="758"/>
      <c r="H453" s="8"/>
    </row>
    <row r="454" spans="7:8">
      <c r="G454" s="758"/>
      <c r="H454" s="8"/>
    </row>
    <row r="455" spans="7:8">
      <c r="G455" s="758"/>
      <c r="H455" s="8"/>
    </row>
    <row r="456" spans="7:8">
      <c r="G456" s="758"/>
      <c r="H456" s="8"/>
    </row>
    <row r="457" spans="7:8">
      <c r="G457" s="758"/>
      <c r="H457" s="8"/>
    </row>
    <row r="458" spans="7:8">
      <c r="G458" s="758"/>
      <c r="H458" s="8"/>
    </row>
    <row r="459" spans="7:8">
      <c r="G459" s="758"/>
      <c r="H459" s="8"/>
    </row>
    <row r="460" spans="7:8">
      <c r="G460" s="758"/>
      <c r="H460" s="8"/>
    </row>
    <row r="461" spans="7:8">
      <c r="G461" s="758"/>
      <c r="H461" s="8"/>
    </row>
    <row r="462" spans="7:8">
      <c r="G462" s="758"/>
      <c r="H462" s="8"/>
    </row>
    <row r="463" spans="7:8">
      <c r="G463" s="758"/>
      <c r="H463" s="8"/>
    </row>
    <row r="464" spans="7:8">
      <c r="G464" s="758"/>
      <c r="H464" s="8"/>
    </row>
    <row r="465" spans="7:8">
      <c r="G465" s="758"/>
      <c r="H465" s="8"/>
    </row>
    <row r="466" spans="7:8">
      <c r="G466" s="758"/>
      <c r="H466" s="8"/>
    </row>
    <row r="467" spans="7:8">
      <c r="G467" s="758"/>
      <c r="H467" s="8"/>
    </row>
    <row r="468" spans="7:8">
      <c r="G468" s="758"/>
      <c r="H468" s="8"/>
    </row>
    <row r="469" spans="7:8">
      <c r="G469" s="758"/>
      <c r="H469" s="8"/>
    </row>
    <row r="470" spans="7:8">
      <c r="G470" s="758"/>
      <c r="H470" s="8"/>
    </row>
    <row r="471" spans="7:8">
      <c r="G471" s="758"/>
      <c r="H471" s="8"/>
    </row>
    <row r="472" spans="7:8">
      <c r="G472" s="758"/>
      <c r="H472" s="8"/>
    </row>
    <row r="473" spans="7:8">
      <c r="G473" s="758"/>
      <c r="H473" s="8"/>
    </row>
    <row r="474" spans="7:8">
      <c r="G474" s="758"/>
      <c r="H474" s="8"/>
    </row>
    <row r="475" spans="7:8">
      <c r="G475" s="758"/>
      <c r="H475" s="8"/>
    </row>
    <row r="476" spans="7:8">
      <c r="G476" s="758"/>
      <c r="H476" s="8"/>
    </row>
    <row r="477" spans="7:8">
      <c r="G477" s="758"/>
      <c r="H477" s="8"/>
    </row>
    <row r="478" spans="7:8">
      <c r="G478" s="758"/>
      <c r="H478" s="8"/>
    </row>
    <row r="479" spans="7:8">
      <c r="G479" s="758"/>
      <c r="H479" s="8"/>
    </row>
    <row r="480" spans="7:8">
      <c r="G480" s="758"/>
      <c r="H480" s="8"/>
    </row>
    <row r="481" spans="7:8">
      <c r="G481" s="758"/>
      <c r="H481" s="8"/>
    </row>
    <row r="482" spans="7:8">
      <c r="G482" s="758"/>
      <c r="H482" s="8"/>
    </row>
    <row r="483" spans="7:8">
      <c r="G483" s="758"/>
      <c r="H483" s="8"/>
    </row>
    <row r="484" spans="7:8">
      <c r="G484" s="758"/>
      <c r="H484" s="8"/>
    </row>
    <row r="485" spans="7:8">
      <c r="G485" s="758"/>
      <c r="H485" s="8"/>
    </row>
    <row r="486" spans="7:8">
      <c r="G486" s="758"/>
      <c r="H486" s="8"/>
    </row>
    <row r="487" spans="7:8">
      <c r="G487" s="758"/>
      <c r="H487" s="8"/>
    </row>
    <row r="488" spans="7:8">
      <c r="G488" s="758"/>
      <c r="H488" s="8"/>
    </row>
    <row r="489" spans="7:8">
      <c r="G489" s="758"/>
      <c r="H489" s="8"/>
    </row>
    <row r="490" spans="7:8">
      <c r="G490" s="758"/>
      <c r="H490" s="8"/>
    </row>
    <row r="491" spans="7:8">
      <c r="G491" s="758"/>
      <c r="H491" s="8"/>
    </row>
    <row r="492" spans="7:8">
      <c r="G492" s="758"/>
      <c r="H492" s="8"/>
    </row>
    <row r="493" spans="7:8">
      <c r="G493" s="758"/>
      <c r="H493" s="8"/>
    </row>
    <row r="494" spans="7:8">
      <c r="G494" s="758"/>
      <c r="H494" s="8"/>
    </row>
    <row r="495" spans="7:8">
      <c r="G495" s="758"/>
      <c r="H495" s="8"/>
    </row>
    <row r="496" spans="7:8">
      <c r="G496" s="758"/>
      <c r="H496" s="8"/>
    </row>
    <row r="497" spans="7:8">
      <c r="G497" s="758"/>
      <c r="H497" s="8"/>
    </row>
    <row r="498" spans="7:8">
      <c r="G498" s="758"/>
      <c r="H498" s="8"/>
    </row>
    <row r="499" spans="7:8">
      <c r="G499" s="758"/>
      <c r="H499" s="8"/>
    </row>
    <row r="500" spans="7:8">
      <c r="G500" s="758"/>
      <c r="H500" s="8"/>
    </row>
    <row r="501" spans="7:8">
      <c r="G501" s="758"/>
      <c r="H501" s="8"/>
    </row>
    <row r="502" spans="7:8">
      <c r="G502" s="758"/>
      <c r="H502" s="8"/>
    </row>
    <row r="503" spans="7:8">
      <c r="G503" s="758"/>
      <c r="H503" s="8"/>
    </row>
    <row r="504" spans="7:8">
      <c r="G504" s="758"/>
      <c r="H504" s="8"/>
    </row>
    <row r="505" spans="7:8">
      <c r="G505" s="758"/>
      <c r="H505" s="8"/>
    </row>
    <row r="506" spans="7:8">
      <c r="G506" s="758"/>
      <c r="H506" s="8"/>
    </row>
    <row r="507" spans="7:8">
      <c r="G507" s="758"/>
      <c r="H507" s="8"/>
    </row>
    <row r="508" spans="7:8">
      <c r="G508" s="758"/>
      <c r="H508" s="8"/>
    </row>
    <row r="509" spans="7:8">
      <c r="G509" s="758"/>
      <c r="H509" s="8"/>
    </row>
    <row r="510" spans="7:8">
      <c r="G510" s="758"/>
      <c r="H510" s="8"/>
    </row>
    <row r="511" spans="7:8">
      <c r="G511" s="758"/>
      <c r="H511" s="8"/>
    </row>
    <row r="512" spans="7:8">
      <c r="G512" s="758"/>
      <c r="H512" s="8"/>
    </row>
    <row r="513" spans="7:8">
      <c r="G513" s="758"/>
      <c r="H513" s="8"/>
    </row>
    <row r="514" spans="7:8">
      <c r="G514" s="758"/>
      <c r="H514" s="8"/>
    </row>
    <row r="515" spans="7:8">
      <c r="G515" s="758"/>
      <c r="H515" s="8"/>
    </row>
    <row r="516" spans="7:8">
      <c r="G516" s="758"/>
      <c r="H516" s="8"/>
    </row>
    <row r="517" spans="7:8">
      <c r="G517" s="758"/>
      <c r="H517" s="8"/>
    </row>
    <row r="518" spans="7:8">
      <c r="G518" s="758"/>
      <c r="H518" s="8"/>
    </row>
    <row r="519" spans="7:8">
      <c r="G519" s="758"/>
      <c r="H519" s="8"/>
    </row>
    <row r="520" spans="7:8">
      <c r="G520" s="758"/>
      <c r="H520" s="8"/>
    </row>
    <row r="521" spans="7:8">
      <c r="G521" s="758"/>
      <c r="H521" s="8"/>
    </row>
    <row r="522" spans="7:8">
      <c r="G522" s="758"/>
      <c r="H522" s="8"/>
    </row>
    <row r="523" spans="7:8">
      <c r="G523" s="758"/>
      <c r="H523" s="8"/>
    </row>
    <row r="524" spans="7:8">
      <c r="G524" s="758"/>
      <c r="H524" s="8"/>
    </row>
    <row r="525" spans="7:8">
      <c r="G525" s="758"/>
      <c r="H525" s="8"/>
    </row>
    <row r="526" spans="7:8">
      <c r="G526" s="758"/>
      <c r="H526" s="8"/>
    </row>
    <row r="527" spans="7:8">
      <c r="G527" s="758"/>
      <c r="H527" s="8"/>
    </row>
    <row r="528" spans="7:8">
      <c r="G528" s="758"/>
      <c r="H528" s="8"/>
    </row>
    <row r="529" spans="7:8">
      <c r="G529" s="758"/>
      <c r="H529" s="8"/>
    </row>
    <row r="530" spans="7:8">
      <c r="G530" s="758"/>
      <c r="H530" s="8"/>
    </row>
    <row r="531" spans="7:8">
      <c r="G531" s="758"/>
      <c r="H531" s="8"/>
    </row>
    <row r="532" spans="7:8">
      <c r="G532" s="758"/>
      <c r="H532" s="8"/>
    </row>
    <row r="533" spans="7:8">
      <c r="G533" s="758"/>
      <c r="H533" s="8"/>
    </row>
    <row r="534" spans="7:8">
      <c r="G534" s="758"/>
      <c r="H534" s="8"/>
    </row>
    <row r="535" spans="7:8">
      <c r="G535" s="758"/>
      <c r="H535" s="8"/>
    </row>
    <row r="536" spans="7:8">
      <c r="G536" s="758"/>
      <c r="H536" s="8"/>
    </row>
    <row r="537" spans="7:8">
      <c r="G537" s="758"/>
      <c r="H537" s="8"/>
    </row>
    <row r="538" spans="7:8">
      <c r="G538" s="758"/>
      <c r="H538" s="8"/>
    </row>
    <row r="539" spans="7:8">
      <c r="G539" s="758"/>
      <c r="H539" s="8"/>
    </row>
    <row r="540" spans="7:8">
      <c r="G540" s="758"/>
      <c r="H540" s="8"/>
    </row>
    <row r="541" spans="7:8">
      <c r="G541" s="758"/>
      <c r="H541" s="8"/>
    </row>
    <row r="542" spans="7:8">
      <c r="G542" s="758"/>
      <c r="H542" s="8"/>
    </row>
    <row r="543" spans="7:8">
      <c r="G543" s="758"/>
      <c r="H543" s="8"/>
    </row>
    <row r="544" spans="7:8">
      <c r="G544" s="758"/>
      <c r="H544" s="8"/>
    </row>
    <row r="545" spans="7:8">
      <c r="G545" s="758"/>
      <c r="H545" s="8"/>
    </row>
    <row r="546" spans="7:8">
      <c r="G546" s="758"/>
      <c r="H546" s="8"/>
    </row>
    <row r="547" spans="7:8">
      <c r="G547" s="758"/>
      <c r="H547" s="8"/>
    </row>
    <row r="548" spans="7:8">
      <c r="G548" s="758"/>
      <c r="H548" s="8"/>
    </row>
    <row r="549" spans="7:8">
      <c r="G549" s="758"/>
      <c r="H549" s="8"/>
    </row>
    <row r="550" spans="7:8">
      <c r="G550" s="758"/>
      <c r="H550" s="8"/>
    </row>
    <row r="551" spans="7:8">
      <c r="G551" s="758"/>
      <c r="H551" s="8"/>
    </row>
    <row r="552" spans="7:8">
      <c r="G552" s="758"/>
      <c r="H552" s="8"/>
    </row>
    <row r="553" spans="7:8">
      <c r="G553" s="758"/>
      <c r="H553" s="8"/>
    </row>
    <row r="554" spans="7:8">
      <c r="G554" s="758"/>
      <c r="H554" s="8"/>
    </row>
    <row r="555" spans="7:8">
      <c r="G555" s="758"/>
      <c r="H555" s="8"/>
    </row>
    <row r="556" spans="7:8">
      <c r="G556" s="758"/>
      <c r="H556" s="8"/>
    </row>
    <row r="557" spans="7:8">
      <c r="G557" s="758"/>
      <c r="H557" s="8"/>
    </row>
    <row r="558" spans="7:8">
      <c r="G558" s="758"/>
      <c r="H558" s="8"/>
    </row>
    <row r="559" spans="7:8">
      <c r="G559" s="758"/>
      <c r="H559" s="8"/>
    </row>
    <row r="560" spans="7:8">
      <c r="G560" s="758"/>
      <c r="H560" s="8"/>
    </row>
    <row r="561" spans="7:8">
      <c r="G561" s="758"/>
      <c r="H561" s="8"/>
    </row>
    <row r="562" spans="7:8">
      <c r="G562" s="758"/>
      <c r="H562" s="8"/>
    </row>
    <row r="563" spans="7:8">
      <c r="G563" s="758"/>
      <c r="H563" s="8"/>
    </row>
    <row r="564" spans="7:8">
      <c r="G564" s="758"/>
      <c r="H564" s="8"/>
    </row>
    <row r="565" spans="7:8">
      <c r="G565" s="758"/>
      <c r="H565" s="8"/>
    </row>
    <row r="566" spans="7:8">
      <c r="G566" s="758"/>
      <c r="H566" s="8"/>
    </row>
    <row r="567" spans="7:8">
      <c r="G567" s="758"/>
      <c r="H567" s="8"/>
    </row>
    <row r="568" spans="7:8">
      <c r="G568" s="758"/>
      <c r="H568" s="8"/>
    </row>
    <row r="569" spans="7:8">
      <c r="G569" s="758"/>
      <c r="H569" s="8"/>
    </row>
    <row r="570" spans="7:8">
      <c r="G570" s="758"/>
      <c r="H570" s="8"/>
    </row>
    <row r="571" spans="7:8">
      <c r="G571" s="758"/>
      <c r="H571" s="8"/>
    </row>
    <row r="572" spans="7:8">
      <c r="G572" s="758"/>
      <c r="H572" s="8"/>
    </row>
    <row r="573" spans="7:8">
      <c r="G573" s="758"/>
      <c r="H573" s="8"/>
    </row>
    <row r="574" spans="7:8">
      <c r="G574" s="758"/>
      <c r="H574" s="8"/>
    </row>
    <row r="575" spans="7:8">
      <c r="G575" s="758"/>
      <c r="H575" s="8"/>
    </row>
    <row r="576" spans="7:8">
      <c r="G576" s="758"/>
      <c r="H576" s="8"/>
    </row>
    <row r="577" spans="7:8">
      <c r="G577" s="758"/>
      <c r="H577" s="8"/>
    </row>
    <row r="578" spans="7:8">
      <c r="G578" s="758"/>
      <c r="H578" s="8"/>
    </row>
    <row r="579" spans="7:8">
      <c r="G579" s="758"/>
      <c r="H579" s="8"/>
    </row>
    <row r="580" spans="7:8">
      <c r="G580" s="758"/>
      <c r="H580" s="8"/>
    </row>
    <row r="581" spans="7:8">
      <c r="G581" s="758"/>
      <c r="H581" s="8"/>
    </row>
    <row r="582" spans="7:8">
      <c r="G582" s="758"/>
      <c r="H582" s="8"/>
    </row>
    <row r="583" spans="7:8">
      <c r="G583" s="758"/>
      <c r="H583" s="8"/>
    </row>
    <row r="584" spans="7:8">
      <c r="G584" s="758"/>
      <c r="H584" s="8"/>
    </row>
    <row r="585" spans="7:8">
      <c r="G585" s="758"/>
      <c r="H585" s="8"/>
    </row>
    <row r="586" spans="7:8">
      <c r="G586" s="758"/>
      <c r="H586" s="8"/>
    </row>
    <row r="587" spans="7:8">
      <c r="G587" s="758"/>
      <c r="H587" s="8"/>
    </row>
    <row r="588" spans="7:8">
      <c r="G588" s="758"/>
      <c r="H588" s="8"/>
    </row>
    <row r="589" spans="7:8">
      <c r="G589" s="758"/>
      <c r="H589" s="8"/>
    </row>
    <row r="590" spans="7:8">
      <c r="G590" s="758"/>
      <c r="H590" s="8"/>
    </row>
    <row r="591" spans="7:8">
      <c r="G591" s="758"/>
      <c r="H591" s="8"/>
    </row>
    <row r="592" spans="7:8">
      <c r="G592" s="758"/>
      <c r="H592" s="8"/>
    </row>
    <row r="593" spans="7:8">
      <c r="G593" s="758"/>
      <c r="H593" s="8"/>
    </row>
    <row r="594" spans="7:8">
      <c r="G594" s="758"/>
      <c r="H594" s="8"/>
    </row>
    <row r="595" spans="7:8">
      <c r="G595" s="758"/>
      <c r="H595" s="8"/>
    </row>
    <row r="596" spans="7:8">
      <c r="G596" s="758"/>
      <c r="H596" s="8"/>
    </row>
    <row r="597" spans="7:8">
      <c r="G597" s="758"/>
      <c r="H597" s="8"/>
    </row>
    <row r="598" spans="7:8">
      <c r="G598" s="758"/>
      <c r="H598" s="8"/>
    </row>
    <row r="599" spans="7:8">
      <c r="G599" s="758"/>
      <c r="H599" s="8"/>
    </row>
    <row r="600" spans="7:8">
      <c r="G600" s="758"/>
      <c r="H600" s="8"/>
    </row>
    <row r="601" spans="7:8">
      <c r="G601" s="758"/>
      <c r="H601" s="8"/>
    </row>
    <row r="602" spans="7:8">
      <c r="G602" s="758"/>
      <c r="H602" s="8"/>
    </row>
    <row r="603" spans="7:8">
      <c r="G603" s="758"/>
      <c r="H603" s="8"/>
    </row>
    <row r="604" spans="7:8">
      <c r="G604" s="758"/>
      <c r="H604" s="8"/>
    </row>
    <row r="605" spans="7:8">
      <c r="G605" s="758"/>
      <c r="H605" s="8"/>
    </row>
    <row r="606" spans="7:8">
      <c r="G606" s="758"/>
      <c r="H606" s="8"/>
    </row>
    <row r="607" spans="7:8">
      <c r="G607" s="758"/>
      <c r="H607" s="8"/>
    </row>
    <row r="608" spans="7:8">
      <c r="G608" s="758"/>
      <c r="H608" s="8"/>
    </row>
    <row r="609" spans="7:8">
      <c r="G609" s="758"/>
      <c r="H609" s="8"/>
    </row>
    <row r="610" spans="7:8">
      <c r="G610" s="758"/>
      <c r="H610" s="8"/>
    </row>
    <row r="611" spans="7:8">
      <c r="G611" s="758"/>
      <c r="H611" s="8"/>
    </row>
    <row r="612" spans="7:8">
      <c r="G612" s="758"/>
      <c r="H612" s="8"/>
    </row>
    <row r="613" spans="7:8">
      <c r="G613" s="758"/>
      <c r="H613" s="8"/>
    </row>
    <row r="614" spans="7:8">
      <c r="G614" s="758"/>
      <c r="H614" s="8"/>
    </row>
    <row r="615" spans="7:8">
      <c r="G615" s="758"/>
      <c r="H615" s="8"/>
    </row>
    <row r="616" spans="7:8">
      <c r="G616" s="758"/>
      <c r="H616" s="8"/>
    </row>
    <row r="617" spans="7:8">
      <c r="G617" s="758"/>
      <c r="H617" s="8"/>
    </row>
    <row r="618" spans="7:8">
      <c r="G618" s="758"/>
      <c r="H618" s="8"/>
    </row>
    <row r="619" spans="7:8">
      <c r="G619" s="758"/>
      <c r="H619" s="8"/>
    </row>
    <row r="620" spans="7:8">
      <c r="G620" s="758"/>
      <c r="H620" s="8"/>
    </row>
    <row r="621" spans="7:8">
      <c r="G621" s="758"/>
      <c r="H621" s="8"/>
    </row>
    <row r="622" spans="7:8">
      <c r="G622" s="758"/>
      <c r="H622" s="8"/>
    </row>
    <row r="623" spans="7:8">
      <c r="G623" s="758"/>
      <c r="H623" s="8"/>
    </row>
    <row r="624" spans="7:8">
      <c r="G624" s="758"/>
      <c r="H624" s="8"/>
    </row>
    <row r="625" spans="7:8">
      <c r="G625" s="758"/>
      <c r="H625" s="8"/>
    </row>
    <row r="626" spans="7:8">
      <c r="G626" s="758"/>
      <c r="H626" s="8"/>
    </row>
    <row r="627" spans="7:8">
      <c r="G627" s="758"/>
      <c r="H627" s="8"/>
    </row>
    <row r="628" spans="7:8">
      <c r="G628" s="758"/>
      <c r="H628" s="8"/>
    </row>
    <row r="629" spans="7:8">
      <c r="G629" s="758"/>
      <c r="H629" s="8"/>
    </row>
    <row r="630" spans="7:8">
      <c r="G630" s="758"/>
      <c r="H630" s="8"/>
    </row>
    <row r="631" spans="7:8">
      <c r="G631" s="758"/>
      <c r="H631" s="8"/>
    </row>
    <row r="632" spans="7:8">
      <c r="G632" s="758"/>
      <c r="H632" s="8"/>
    </row>
    <row r="633" spans="7:8">
      <c r="G633" s="758"/>
      <c r="H633" s="8"/>
    </row>
    <row r="634" spans="7:8">
      <c r="G634" s="758"/>
      <c r="H634" s="8"/>
    </row>
    <row r="635" spans="7:8">
      <c r="G635" s="758"/>
      <c r="H635" s="8"/>
    </row>
    <row r="636" spans="7:8">
      <c r="G636" s="758"/>
      <c r="H636" s="8"/>
    </row>
    <row r="637" spans="7:8">
      <c r="G637" s="758"/>
      <c r="H637" s="8"/>
    </row>
    <row r="638" spans="7:8">
      <c r="G638" s="758"/>
      <c r="H638" s="8"/>
    </row>
    <row r="639" spans="7:8">
      <c r="G639" s="758"/>
      <c r="H639" s="8"/>
    </row>
    <row r="640" spans="7:8">
      <c r="G640" s="758"/>
      <c r="H640" s="8"/>
    </row>
    <row r="641" spans="7:8">
      <c r="G641" s="758"/>
      <c r="H641" s="8"/>
    </row>
    <row r="642" spans="7:8">
      <c r="G642" s="758"/>
      <c r="H642" s="8"/>
    </row>
    <row r="643" spans="7:8">
      <c r="G643" s="758"/>
      <c r="H643" s="8"/>
    </row>
    <row r="644" spans="7:8">
      <c r="G644" s="758"/>
      <c r="H644" s="8"/>
    </row>
    <row r="645" spans="7:8">
      <c r="G645" s="758"/>
      <c r="H645" s="8"/>
    </row>
    <row r="646" spans="7:8">
      <c r="G646" s="758"/>
      <c r="H646" s="8"/>
    </row>
    <row r="647" spans="7:8">
      <c r="G647" s="758"/>
      <c r="H647" s="8"/>
    </row>
    <row r="648" spans="7:8">
      <c r="G648" s="758"/>
      <c r="H648" s="8"/>
    </row>
    <row r="649" spans="7:8">
      <c r="G649" s="758"/>
      <c r="H649" s="8"/>
    </row>
    <row r="650" spans="7:8">
      <c r="G650" s="758"/>
      <c r="H650" s="8"/>
    </row>
    <row r="651" spans="7:8">
      <c r="G651" s="758"/>
      <c r="H651" s="8"/>
    </row>
    <row r="652" spans="7:8">
      <c r="G652" s="758"/>
      <c r="H652" s="8"/>
    </row>
    <row r="653" spans="7:8">
      <c r="G653" s="758"/>
      <c r="H653" s="8"/>
    </row>
    <row r="654" spans="7:8">
      <c r="G654" s="758"/>
      <c r="H654" s="8"/>
    </row>
    <row r="655" spans="7:8">
      <c r="G655" s="758"/>
      <c r="H655" s="8"/>
    </row>
    <row r="656" spans="7:8">
      <c r="G656" s="758"/>
      <c r="H656" s="8"/>
    </row>
    <row r="657" spans="7:8">
      <c r="G657" s="758"/>
      <c r="H657" s="8"/>
    </row>
    <row r="658" spans="7:8">
      <c r="G658" s="758"/>
      <c r="H658" s="8"/>
    </row>
    <row r="659" spans="7:8">
      <c r="G659" s="758"/>
      <c r="H659" s="8"/>
    </row>
    <row r="660" spans="7:8">
      <c r="G660" s="758"/>
      <c r="H660" s="8"/>
    </row>
    <row r="661" spans="7:8">
      <c r="G661" s="758"/>
      <c r="H661" s="8"/>
    </row>
    <row r="662" spans="7:8">
      <c r="G662" s="758"/>
      <c r="H662" s="8"/>
    </row>
    <row r="663" spans="7:8">
      <c r="G663" s="758"/>
      <c r="H663" s="8"/>
    </row>
    <row r="664" spans="7:8">
      <c r="G664" s="758"/>
      <c r="H664" s="8"/>
    </row>
    <row r="665" spans="7:8">
      <c r="G665" s="758"/>
      <c r="H665" s="8"/>
    </row>
    <row r="666" spans="7:8">
      <c r="G666" s="758"/>
      <c r="H666" s="8"/>
    </row>
    <row r="667" spans="7:8">
      <c r="G667" s="758"/>
      <c r="H667" s="8"/>
    </row>
    <row r="668" spans="7:8">
      <c r="G668" s="758"/>
      <c r="H668" s="8"/>
    </row>
    <row r="669" spans="7:8">
      <c r="G669" s="758"/>
      <c r="H669" s="8"/>
    </row>
    <row r="670" spans="7:8">
      <c r="G670" s="758"/>
      <c r="H670" s="8"/>
    </row>
    <row r="671" spans="7:8">
      <c r="G671" s="758"/>
      <c r="H671" s="8"/>
    </row>
    <row r="672" spans="7:8">
      <c r="G672" s="758"/>
      <c r="H672" s="8"/>
    </row>
    <row r="673" spans="7:8">
      <c r="G673" s="758"/>
      <c r="H673" s="8"/>
    </row>
    <row r="674" spans="7:8">
      <c r="G674" s="758"/>
      <c r="H674" s="8"/>
    </row>
    <row r="675" spans="7:8">
      <c r="G675" s="758"/>
      <c r="H675" s="8"/>
    </row>
    <row r="676" spans="7:8">
      <c r="G676" s="758"/>
      <c r="H676" s="8"/>
    </row>
    <row r="677" spans="7:8">
      <c r="G677" s="758"/>
      <c r="H677" s="8"/>
    </row>
    <row r="678" spans="7:8">
      <c r="G678" s="758"/>
      <c r="H678" s="8"/>
    </row>
    <row r="679" spans="7:8">
      <c r="G679" s="758"/>
      <c r="H679" s="8"/>
    </row>
    <row r="680" spans="7:8">
      <c r="G680" s="758"/>
      <c r="H680" s="8"/>
    </row>
    <row r="681" spans="7:8">
      <c r="G681" s="758"/>
      <c r="H681" s="8"/>
    </row>
    <row r="682" spans="7:8">
      <c r="G682" s="758"/>
      <c r="H682" s="8"/>
    </row>
    <row r="683" spans="7:8">
      <c r="G683" s="758"/>
      <c r="H683" s="8"/>
    </row>
    <row r="684" spans="7:8">
      <c r="G684" s="758"/>
      <c r="H684" s="8"/>
    </row>
    <row r="685" spans="7:8">
      <c r="G685" s="758"/>
      <c r="H685" s="8"/>
    </row>
    <row r="686" spans="7:8">
      <c r="G686" s="758"/>
      <c r="H686" s="8"/>
    </row>
    <row r="687" spans="7:8">
      <c r="G687" s="758"/>
      <c r="H687" s="8"/>
    </row>
    <row r="688" spans="7:8">
      <c r="G688" s="758"/>
      <c r="H688" s="8"/>
    </row>
    <row r="689" spans="7:8">
      <c r="G689" s="758"/>
      <c r="H689" s="8"/>
    </row>
    <row r="690" spans="7:8">
      <c r="G690" s="758"/>
      <c r="H690" s="8"/>
    </row>
    <row r="691" spans="7:8">
      <c r="G691" s="758"/>
      <c r="H691" s="8"/>
    </row>
    <row r="692" spans="7:8">
      <c r="G692" s="758"/>
      <c r="H692" s="8"/>
    </row>
    <row r="693" spans="7:8">
      <c r="G693" s="758"/>
      <c r="H693" s="8"/>
    </row>
    <row r="694" spans="7:8">
      <c r="G694" s="758"/>
      <c r="H694" s="8"/>
    </row>
    <row r="695" spans="7:8">
      <c r="G695" s="758"/>
      <c r="H695" s="8"/>
    </row>
    <row r="696" spans="7:8">
      <c r="G696" s="758"/>
      <c r="H696" s="8"/>
    </row>
    <row r="697" spans="7:8">
      <c r="G697" s="758"/>
      <c r="H697" s="8"/>
    </row>
    <row r="698" spans="7:8">
      <c r="G698" s="758"/>
      <c r="H698" s="8"/>
    </row>
    <row r="699" spans="7:8">
      <c r="G699" s="758"/>
      <c r="H699" s="8"/>
    </row>
    <row r="700" spans="7:8">
      <c r="G700" s="758"/>
      <c r="H700" s="8"/>
    </row>
    <row r="701" spans="7:8">
      <c r="G701" s="758"/>
      <c r="H701" s="8"/>
    </row>
    <row r="702" spans="7:8">
      <c r="G702" s="758"/>
      <c r="H702" s="8"/>
    </row>
    <row r="703" spans="7:8">
      <c r="G703" s="758"/>
      <c r="H703" s="8"/>
    </row>
    <row r="704" spans="7:8">
      <c r="G704" s="758"/>
      <c r="H704" s="8"/>
    </row>
    <row r="705" spans="7:8">
      <c r="G705" s="758"/>
      <c r="H705" s="8"/>
    </row>
    <row r="706" spans="7:8">
      <c r="G706" s="758"/>
      <c r="H706" s="8"/>
    </row>
    <row r="707" spans="7:8">
      <c r="G707" s="758"/>
      <c r="H707" s="8"/>
    </row>
    <row r="708" spans="7:8">
      <c r="G708" s="758"/>
      <c r="H708" s="8"/>
    </row>
    <row r="709" spans="7:8">
      <c r="G709" s="758"/>
      <c r="H709" s="8"/>
    </row>
    <row r="710" spans="7:8">
      <c r="G710" s="758"/>
      <c r="H710" s="8"/>
    </row>
    <row r="711" spans="7:8">
      <c r="G711" s="758"/>
      <c r="H711" s="8"/>
    </row>
    <row r="712" spans="7:8">
      <c r="G712" s="758"/>
      <c r="H712" s="8"/>
    </row>
    <row r="713" spans="7:8">
      <c r="G713" s="758"/>
      <c r="H713" s="8"/>
    </row>
    <row r="714" spans="7:8">
      <c r="G714" s="758"/>
      <c r="H714" s="8"/>
    </row>
    <row r="715" spans="7:8">
      <c r="G715" s="758"/>
      <c r="H715" s="8"/>
    </row>
    <row r="716" spans="7:8">
      <c r="G716" s="758"/>
      <c r="H716" s="8"/>
    </row>
    <row r="717" spans="7:8">
      <c r="G717" s="758"/>
      <c r="H717" s="8"/>
    </row>
    <row r="718" spans="7:8">
      <c r="G718" s="758"/>
      <c r="H718" s="8"/>
    </row>
    <row r="719" spans="7:8">
      <c r="G719" s="758"/>
      <c r="H719" s="8"/>
    </row>
    <row r="720" spans="7:8">
      <c r="G720" s="758"/>
      <c r="H720" s="8"/>
    </row>
    <row r="721" spans="7:8">
      <c r="G721" s="758"/>
      <c r="H721" s="8"/>
    </row>
    <row r="722" spans="7:8">
      <c r="G722" s="758"/>
      <c r="H722" s="8"/>
    </row>
    <row r="723" spans="7:8">
      <c r="G723" s="758"/>
      <c r="H723" s="8"/>
    </row>
    <row r="724" spans="7:8">
      <c r="G724" s="758"/>
      <c r="H724" s="8"/>
    </row>
    <row r="725" spans="7:8">
      <c r="G725" s="758"/>
      <c r="H725" s="8"/>
    </row>
    <row r="726" spans="7:8">
      <c r="G726" s="758"/>
      <c r="H726" s="8"/>
    </row>
    <row r="727" spans="7:8">
      <c r="G727" s="758"/>
      <c r="H727" s="8"/>
    </row>
    <row r="728" spans="7:8">
      <c r="G728" s="758"/>
      <c r="H728" s="8"/>
    </row>
    <row r="729" spans="7:8">
      <c r="G729" s="758"/>
      <c r="H729" s="8"/>
    </row>
    <row r="730" spans="7:8">
      <c r="G730" s="758"/>
      <c r="H730" s="8"/>
    </row>
    <row r="731" spans="7:8">
      <c r="G731" s="758"/>
      <c r="H731" s="8"/>
    </row>
    <row r="732" spans="7:8">
      <c r="G732" s="758"/>
      <c r="H732" s="8"/>
    </row>
    <row r="733" spans="7:8">
      <c r="G733" s="758"/>
      <c r="H733" s="8"/>
    </row>
    <row r="734" spans="7:8">
      <c r="G734" s="758"/>
      <c r="H734" s="8"/>
    </row>
    <row r="735" spans="7:8">
      <c r="G735" s="758"/>
      <c r="H735" s="8"/>
    </row>
    <row r="736" spans="7:8">
      <c r="G736" s="758"/>
      <c r="H736" s="8"/>
    </row>
    <row r="737" spans="7:8">
      <c r="G737" s="758"/>
      <c r="H737" s="8"/>
    </row>
    <row r="738" spans="7:8">
      <c r="G738" s="758"/>
      <c r="H738" s="8"/>
    </row>
    <row r="739" spans="7:8">
      <c r="G739" s="758"/>
      <c r="H739" s="8"/>
    </row>
    <row r="740" spans="7:8">
      <c r="G740" s="758"/>
      <c r="H740" s="8"/>
    </row>
    <row r="741" spans="7:8">
      <c r="G741" s="758"/>
      <c r="H741" s="8"/>
    </row>
    <row r="742" spans="7:8">
      <c r="G742" s="758"/>
      <c r="H742" s="8"/>
    </row>
    <row r="743" spans="7:8">
      <c r="G743" s="758"/>
      <c r="H743" s="8"/>
    </row>
    <row r="744" spans="7:8">
      <c r="G744" s="758"/>
      <c r="H744" s="8"/>
    </row>
    <row r="745" spans="7:8">
      <c r="G745" s="758"/>
      <c r="H745" s="8"/>
    </row>
    <row r="746" spans="7:8">
      <c r="G746" s="758"/>
      <c r="H746" s="8"/>
    </row>
    <row r="747" spans="7:8">
      <c r="G747" s="758"/>
      <c r="H747" s="8"/>
    </row>
    <row r="748" spans="7:8">
      <c r="G748" s="758"/>
      <c r="H748" s="8"/>
    </row>
    <row r="749" spans="7:8">
      <c r="G749" s="758"/>
      <c r="H749" s="8"/>
    </row>
    <row r="750" spans="7:8">
      <c r="G750" s="758"/>
      <c r="H750" s="8"/>
    </row>
    <row r="751" spans="7:8">
      <c r="G751" s="758"/>
      <c r="H751" s="8"/>
    </row>
    <row r="752" spans="7:8">
      <c r="G752" s="758"/>
      <c r="H752" s="8"/>
    </row>
    <row r="753" spans="7:8">
      <c r="G753" s="758"/>
      <c r="H753" s="8"/>
    </row>
    <row r="754" spans="7:8">
      <c r="G754" s="758"/>
      <c r="H754" s="8"/>
    </row>
    <row r="755" spans="7:8">
      <c r="G755" s="758"/>
      <c r="H755" s="8"/>
    </row>
    <row r="756" spans="7:8">
      <c r="G756" s="758"/>
      <c r="H756" s="8"/>
    </row>
    <row r="757" spans="7:8">
      <c r="G757" s="758"/>
      <c r="H757" s="8"/>
    </row>
    <row r="758" spans="7:8">
      <c r="G758" s="758"/>
      <c r="H758" s="8"/>
    </row>
    <row r="759" spans="7:8">
      <c r="G759" s="758"/>
      <c r="H759" s="8"/>
    </row>
    <row r="760" spans="7:8">
      <c r="G760" s="758"/>
      <c r="H760" s="8"/>
    </row>
    <row r="761" spans="7:8">
      <c r="G761" s="758"/>
      <c r="H761" s="8"/>
    </row>
    <row r="762" spans="7:8">
      <c r="G762" s="758"/>
      <c r="H762" s="8"/>
    </row>
    <row r="763" spans="7:8">
      <c r="G763" s="758"/>
      <c r="H763" s="8"/>
    </row>
    <row r="764" spans="7:8">
      <c r="G764" s="758"/>
      <c r="H764" s="8"/>
    </row>
    <row r="765" spans="7:8">
      <c r="G765" s="758"/>
      <c r="H765" s="8"/>
    </row>
    <row r="766" spans="7:8">
      <c r="G766" s="758"/>
      <c r="H766" s="8"/>
    </row>
    <row r="767" spans="7:8">
      <c r="G767" s="758"/>
      <c r="H767" s="8"/>
    </row>
    <row r="768" spans="7:8">
      <c r="G768" s="758"/>
      <c r="H768" s="8"/>
    </row>
    <row r="769" spans="7:8">
      <c r="G769" s="758"/>
      <c r="H769" s="8"/>
    </row>
    <row r="770" spans="7:8">
      <c r="G770" s="758"/>
      <c r="H770" s="8"/>
    </row>
    <row r="771" spans="7:8">
      <c r="G771" s="758"/>
      <c r="H771" s="8"/>
    </row>
    <row r="772" spans="7:8">
      <c r="G772" s="758"/>
      <c r="H772" s="8"/>
    </row>
    <row r="773" spans="7:8">
      <c r="G773" s="758"/>
      <c r="H773" s="8"/>
    </row>
    <row r="774" spans="7:8">
      <c r="G774" s="758"/>
      <c r="H774" s="8"/>
    </row>
    <row r="775" spans="7:8">
      <c r="G775" s="758"/>
      <c r="H775" s="8"/>
    </row>
    <row r="776" spans="7:8">
      <c r="G776" s="758"/>
      <c r="H776" s="8"/>
    </row>
    <row r="777" spans="7:8">
      <c r="G777" s="758"/>
      <c r="H777" s="8"/>
    </row>
    <row r="778" spans="7:8">
      <c r="G778" s="758"/>
      <c r="H778" s="8"/>
    </row>
    <row r="779" spans="7:8">
      <c r="G779" s="758"/>
      <c r="H779" s="8"/>
    </row>
    <row r="780" spans="7:8">
      <c r="G780" s="758"/>
      <c r="H780" s="8"/>
    </row>
    <row r="781" spans="7:8">
      <c r="G781" s="758"/>
      <c r="H781" s="8"/>
    </row>
    <row r="782" spans="7:8">
      <c r="G782" s="758"/>
      <c r="H782" s="8"/>
    </row>
    <row r="783" spans="7:8">
      <c r="G783" s="758"/>
      <c r="H783" s="8"/>
    </row>
    <row r="784" spans="7:8">
      <c r="G784" s="758"/>
      <c r="H784" s="8"/>
    </row>
    <row r="785" spans="7:8">
      <c r="G785" s="758"/>
      <c r="H785" s="8"/>
    </row>
    <row r="786" spans="7:8">
      <c r="G786" s="758"/>
      <c r="H786" s="8"/>
    </row>
    <row r="787" spans="7:8">
      <c r="G787" s="758"/>
      <c r="H787" s="8"/>
    </row>
    <row r="788" spans="7:8">
      <c r="G788" s="758"/>
      <c r="H788" s="8"/>
    </row>
    <row r="789" spans="7:8">
      <c r="G789" s="758"/>
      <c r="H789" s="8"/>
    </row>
    <row r="790" spans="7:8">
      <c r="G790" s="758"/>
      <c r="H790" s="8"/>
    </row>
    <row r="791" spans="7:8">
      <c r="G791" s="758"/>
      <c r="H791" s="8"/>
    </row>
    <row r="792" spans="7:8">
      <c r="G792" s="758"/>
      <c r="H792" s="8"/>
    </row>
    <row r="793" spans="7:8">
      <c r="G793" s="758"/>
      <c r="H793" s="8"/>
    </row>
    <row r="794" spans="7:8">
      <c r="G794" s="758"/>
      <c r="H794" s="8"/>
    </row>
    <row r="795" spans="7:8">
      <c r="G795" s="758"/>
      <c r="H795" s="8"/>
    </row>
    <row r="796" spans="7:8">
      <c r="G796" s="758"/>
      <c r="H796" s="8"/>
    </row>
    <row r="797" spans="7:8">
      <c r="G797" s="758"/>
      <c r="H797" s="8"/>
    </row>
    <row r="798" spans="7:8">
      <c r="G798" s="758"/>
      <c r="H798" s="8"/>
    </row>
    <row r="799" spans="7:8">
      <c r="G799" s="758"/>
      <c r="H799" s="8"/>
    </row>
    <row r="800" spans="7:8">
      <c r="G800" s="758"/>
      <c r="H800" s="8"/>
    </row>
    <row r="801" spans="7:8">
      <c r="G801" s="758"/>
      <c r="H801" s="8"/>
    </row>
    <row r="802" spans="7:8">
      <c r="G802" s="758"/>
      <c r="H802" s="8"/>
    </row>
    <row r="803" spans="7:8">
      <c r="G803" s="758"/>
      <c r="H803" s="8"/>
    </row>
    <row r="804" spans="7:8">
      <c r="G804" s="758"/>
      <c r="H804" s="8"/>
    </row>
    <row r="805" spans="7:8">
      <c r="G805" s="758"/>
      <c r="H805" s="8"/>
    </row>
    <row r="806" spans="7:8">
      <c r="G806" s="758"/>
      <c r="H806" s="8"/>
    </row>
    <row r="807" spans="7:8">
      <c r="G807" s="758"/>
      <c r="H807" s="8"/>
    </row>
    <row r="808" spans="7:8">
      <c r="G808" s="758"/>
      <c r="H808" s="8"/>
    </row>
    <row r="809" spans="7:8">
      <c r="G809" s="758"/>
      <c r="H809" s="8"/>
    </row>
    <row r="810" spans="7:8">
      <c r="G810" s="758"/>
      <c r="H810" s="8"/>
    </row>
    <row r="811" spans="7:8">
      <c r="G811" s="758"/>
      <c r="H811" s="8"/>
    </row>
    <row r="812" spans="7:8">
      <c r="G812" s="758"/>
      <c r="H812" s="8"/>
    </row>
    <row r="813" spans="7:8">
      <c r="G813" s="758"/>
      <c r="H813" s="8"/>
    </row>
    <row r="814" spans="7:8">
      <c r="G814" s="758"/>
      <c r="H814" s="8"/>
    </row>
    <row r="815" spans="7:8">
      <c r="G815" s="758"/>
      <c r="H815" s="8"/>
    </row>
    <row r="816" spans="7:8">
      <c r="G816" s="758"/>
      <c r="H816" s="8"/>
    </row>
    <row r="817" spans="7:8">
      <c r="G817" s="758"/>
      <c r="H817" s="8"/>
    </row>
    <row r="818" spans="7:8">
      <c r="G818" s="758"/>
      <c r="H818" s="8"/>
    </row>
    <row r="819" spans="7:8">
      <c r="G819" s="758"/>
      <c r="H819" s="8"/>
    </row>
    <row r="820" spans="7:8">
      <c r="G820" s="758"/>
      <c r="H820" s="8"/>
    </row>
    <row r="821" spans="7:8">
      <c r="G821" s="758"/>
      <c r="H821" s="8"/>
    </row>
    <row r="822" spans="7:8">
      <c r="G822" s="758"/>
      <c r="H822" s="8"/>
    </row>
    <row r="823" spans="7:8">
      <c r="G823" s="758"/>
      <c r="H823" s="8"/>
    </row>
    <row r="824" spans="7:8">
      <c r="G824" s="758"/>
      <c r="H824" s="8"/>
    </row>
    <row r="825" spans="7:8">
      <c r="G825" s="758"/>
      <c r="H825" s="8"/>
    </row>
    <row r="826" spans="7:8">
      <c r="G826" s="758"/>
      <c r="H826" s="8"/>
    </row>
    <row r="827" spans="7:8">
      <c r="G827" s="758"/>
      <c r="H827" s="8"/>
    </row>
    <row r="828" spans="7:8">
      <c r="G828" s="758"/>
      <c r="H828" s="8"/>
    </row>
    <row r="829" spans="7:8">
      <c r="G829" s="758"/>
      <c r="H829" s="8"/>
    </row>
    <row r="830" spans="7:8">
      <c r="G830" s="758"/>
      <c r="H830" s="8"/>
    </row>
    <row r="831" spans="7:8">
      <c r="G831" s="758"/>
      <c r="H831" s="8"/>
    </row>
    <row r="832" spans="7:8">
      <c r="G832" s="758"/>
      <c r="H832" s="8"/>
    </row>
    <row r="833" spans="7:8">
      <c r="G833" s="758"/>
      <c r="H833" s="8"/>
    </row>
    <row r="834" spans="7:8">
      <c r="G834" s="758"/>
      <c r="H834" s="8"/>
    </row>
    <row r="835" spans="7:8">
      <c r="G835" s="758"/>
      <c r="H835" s="8"/>
    </row>
    <row r="836" spans="7:8">
      <c r="G836" s="758"/>
      <c r="H836" s="8"/>
    </row>
    <row r="837" spans="7:8">
      <c r="G837" s="758"/>
      <c r="H837" s="8"/>
    </row>
    <row r="838" spans="7:8">
      <c r="G838" s="758"/>
      <c r="H838" s="8"/>
    </row>
    <row r="839" spans="7:8">
      <c r="G839" s="758"/>
      <c r="H839" s="8"/>
    </row>
    <row r="840" spans="7:8">
      <c r="G840" s="758"/>
      <c r="H840" s="8"/>
    </row>
    <row r="841" spans="7:8">
      <c r="G841" s="758"/>
      <c r="H841" s="8"/>
    </row>
    <row r="842" spans="7:8">
      <c r="G842" s="758"/>
      <c r="H842" s="8"/>
    </row>
    <row r="843" spans="7:8">
      <c r="G843" s="758"/>
      <c r="H843" s="8"/>
    </row>
    <row r="844" spans="7:8">
      <c r="G844" s="758"/>
      <c r="H844" s="8"/>
    </row>
    <row r="845" spans="7:8">
      <c r="G845" s="758"/>
      <c r="H845" s="8"/>
    </row>
    <row r="846" spans="7:8">
      <c r="G846" s="758"/>
      <c r="H846" s="8"/>
    </row>
    <row r="847" spans="7:8">
      <c r="G847" s="758"/>
      <c r="H847" s="8"/>
    </row>
    <row r="848" spans="7:8">
      <c r="G848" s="758"/>
      <c r="H848" s="8"/>
    </row>
    <row r="849" spans="7:8">
      <c r="G849" s="758"/>
      <c r="H849" s="8"/>
    </row>
    <row r="850" spans="7:8">
      <c r="G850" s="758"/>
      <c r="H850" s="8"/>
    </row>
    <row r="851" spans="7:8">
      <c r="G851" s="758"/>
      <c r="H851" s="8"/>
    </row>
    <row r="852" spans="7:8">
      <c r="G852" s="758"/>
      <c r="H852" s="8"/>
    </row>
    <row r="853" spans="7:8">
      <c r="G853" s="758"/>
      <c r="H853" s="8"/>
    </row>
    <row r="854" spans="7:8">
      <c r="G854" s="758"/>
      <c r="H854" s="8"/>
    </row>
    <row r="855" spans="7:8">
      <c r="G855" s="758"/>
      <c r="H855" s="8"/>
    </row>
    <row r="856" spans="7:8">
      <c r="G856" s="758"/>
      <c r="H856" s="8"/>
    </row>
    <row r="857" spans="7:8">
      <c r="G857" s="758"/>
      <c r="H857" s="8"/>
    </row>
    <row r="858" spans="7:8">
      <c r="G858" s="758"/>
      <c r="H858" s="8"/>
    </row>
    <row r="859" spans="7:8">
      <c r="G859" s="758"/>
      <c r="H859" s="8"/>
    </row>
    <row r="860" spans="7:8">
      <c r="G860" s="758"/>
      <c r="H860" s="8"/>
    </row>
    <row r="861" spans="7:8">
      <c r="G861" s="758"/>
      <c r="H861" s="8"/>
    </row>
    <row r="862" spans="7:8">
      <c r="G862" s="758"/>
      <c r="H862" s="8"/>
    </row>
    <row r="863" spans="7:8">
      <c r="G863" s="758"/>
      <c r="H863" s="8"/>
    </row>
    <row r="864" spans="7:8">
      <c r="G864" s="758"/>
      <c r="H864" s="8"/>
    </row>
    <row r="865" spans="7:8">
      <c r="G865" s="758"/>
      <c r="H865" s="8"/>
    </row>
    <row r="866" spans="7:8">
      <c r="G866" s="758"/>
      <c r="H866" s="8"/>
    </row>
    <row r="867" spans="7:8">
      <c r="G867" s="758"/>
      <c r="H867" s="8"/>
    </row>
    <row r="868" spans="7:8">
      <c r="G868" s="758"/>
      <c r="H868" s="8"/>
    </row>
    <row r="869" spans="7:8">
      <c r="G869" s="758"/>
      <c r="H869" s="8"/>
    </row>
    <row r="870" spans="7:8">
      <c r="G870" s="758"/>
      <c r="H870" s="8"/>
    </row>
    <row r="871" spans="7:8">
      <c r="G871" s="758"/>
      <c r="H871" s="8"/>
    </row>
    <row r="872" spans="7:8">
      <c r="G872" s="758"/>
      <c r="H872" s="8"/>
    </row>
    <row r="873" spans="7:8">
      <c r="G873" s="758"/>
      <c r="H873" s="8"/>
    </row>
    <row r="874" spans="7:8">
      <c r="G874" s="758"/>
      <c r="H874" s="8"/>
    </row>
    <row r="875" spans="7:8">
      <c r="G875" s="758"/>
      <c r="H875" s="8"/>
    </row>
    <row r="876" spans="7:8">
      <c r="G876" s="758"/>
      <c r="H876" s="8"/>
    </row>
    <row r="877" spans="7:8">
      <c r="G877" s="758"/>
      <c r="H877" s="8"/>
    </row>
    <row r="878" spans="7:8">
      <c r="G878" s="758"/>
      <c r="H878" s="8"/>
    </row>
    <row r="879" spans="7:8">
      <c r="G879" s="758"/>
      <c r="H879" s="8"/>
    </row>
    <row r="880" spans="7:8">
      <c r="G880" s="758"/>
      <c r="H880" s="8"/>
    </row>
    <row r="881" spans="7:8">
      <c r="G881" s="758"/>
      <c r="H881" s="8"/>
    </row>
    <row r="882" spans="7:8">
      <c r="G882" s="758"/>
      <c r="H882" s="8"/>
    </row>
    <row r="883" spans="7:8">
      <c r="G883" s="758"/>
      <c r="H883" s="8"/>
    </row>
    <row r="884" spans="7:8">
      <c r="G884" s="758"/>
      <c r="H884" s="8"/>
    </row>
    <row r="885" spans="7:8">
      <c r="G885" s="758"/>
      <c r="H885" s="8"/>
    </row>
    <row r="886" spans="7:8">
      <c r="G886" s="758"/>
      <c r="H886" s="8"/>
    </row>
    <row r="887" spans="7:8">
      <c r="G887" s="758"/>
      <c r="H887" s="8"/>
    </row>
    <row r="888" spans="7:8">
      <c r="G888" s="758"/>
      <c r="H888" s="8"/>
    </row>
    <row r="889" spans="7:8">
      <c r="G889" s="758"/>
      <c r="H889" s="8"/>
    </row>
    <row r="890" spans="7:8">
      <c r="G890" s="758"/>
      <c r="H890" s="8"/>
    </row>
    <row r="891" spans="7:8">
      <c r="G891" s="758"/>
      <c r="H891" s="8"/>
    </row>
    <row r="892" spans="7:8">
      <c r="G892" s="758"/>
      <c r="H892" s="8"/>
    </row>
    <row r="893" spans="7:8">
      <c r="G893" s="758"/>
      <c r="H893" s="8"/>
    </row>
    <row r="894" spans="7:8">
      <c r="G894" s="758"/>
      <c r="H894" s="8"/>
    </row>
    <row r="895" spans="7:8">
      <c r="G895" s="758"/>
      <c r="H895" s="8"/>
    </row>
    <row r="896" spans="7:8">
      <c r="G896" s="758"/>
      <c r="H896" s="8"/>
    </row>
    <row r="897" spans="7:8">
      <c r="G897" s="758"/>
      <c r="H897" s="8"/>
    </row>
    <row r="898" spans="7:8">
      <c r="G898" s="758"/>
      <c r="H898" s="8"/>
    </row>
    <row r="899" spans="7:8">
      <c r="G899" s="758"/>
      <c r="H899" s="8"/>
    </row>
    <row r="900" spans="7:8">
      <c r="G900" s="758"/>
      <c r="H900" s="8"/>
    </row>
    <row r="901" spans="7:8">
      <c r="G901" s="758"/>
      <c r="H901" s="8"/>
    </row>
    <row r="902" spans="7:8">
      <c r="G902" s="758"/>
      <c r="H902" s="8"/>
    </row>
    <row r="903" spans="7:8">
      <c r="G903" s="758"/>
      <c r="H903" s="8"/>
    </row>
    <row r="904" spans="7:8">
      <c r="G904" s="758"/>
      <c r="H904" s="8"/>
    </row>
    <row r="905" spans="7:8">
      <c r="G905" s="758"/>
      <c r="H905" s="8"/>
    </row>
    <row r="906" spans="7:8">
      <c r="G906" s="758"/>
      <c r="H906" s="8"/>
    </row>
    <row r="907" spans="7:8">
      <c r="G907" s="758"/>
      <c r="H907" s="8"/>
    </row>
    <row r="908" spans="7:8">
      <c r="G908" s="758"/>
      <c r="H908" s="8"/>
    </row>
    <row r="909" spans="7:8">
      <c r="G909" s="758"/>
      <c r="H909" s="8"/>
    </row>
    <row r="910" spans="7:8">
      <c r="G910" s="758"/>
      <c r="H910" s="8"/>
    </row>
    <row r="911" spans="7:8">
      <c r="G911" s="758"/>
      <c r="H911" s="8"/>
    </row>
    <row r="912" spans="7:8">
      <c r="G912" s="758"/>
      <c r="H912" s="8"/>
    </row>
    <row r="913" spans="7:8">
      <c r="G913" s="758"/>
      <c r="H913" s="8"/>
    </row>
    <row r="914" spans="7:8">
      <c r="G914" s="758"/>
      <c r="H914" s="8"/>
    </row>
    <row r="915" spans="7:8">
      <c r="G915" s="758"/>
      <c r="H915" s="8"/>
    </row>
    <row r="916" spans="7:8">
      <c r="G916" s="758"/>
      <c r="H916" s="8"/>
    </row>
    <row r="917" spans="7:8">
      <c r="G917" s="758"/>
      <c r="H917" s="8"/>
    </row>
    <row r="918" spans="7:8">
      <c r="G918" s="758"/>
      <c r="H918" s="8"/>
    </row>
    <row r="919" spans="7:8">
      <c r="G919" s="758"/>
      <c r="H919" s="8"/>
    </row>
    <row r="920" spans="7:8">
      <c r="G920" s="758"/>
      <c r="H920" s="8"/>
    </row>
    <row r="921" spans="7:8">
      <c r="G921" s="758"/>
      <c r="H921" s="8"/>
    </row>
    <row r="922" spans="7:8">
      <c r="G922" s="758"/>
      <c r="H922" s="8"/>
    </row>
    <row r="923" spans="7:8">
      <c r="G923" s="758"/>
      <c r="H923" s="8"/>
    </row>
    <row r="924" spans="7:8">
      <c r="G924" s="758"/>
      <c r="H924" s="8"/>
    </row>
    <row r="925" spans="7:8">
      <c r="G925" s="758"/>
      <c r="H925" s="8"/>
    </row>
    <row r="926" spans="7:8">
      <c r="G926" s="758"/>
      <c r="H926" s="8"/>
    </row>
    <row r="927" spans="7:8">
      <c r="G927" s="758"/>
      <c r="H927" s="8"/>
    </row>
    <row r="928" spans="7:8">
      <c r="G928" s="758"/>
      <c r="H928" s="8"/>
    </row>
    <row r="929" spans="7:8">
      <c r="G929" s="758"/>
      <c r="H929" s="8"/>
    </row>
    <row r="930" spans="7:8">
      <c r="G930" s="758"/>
      <c r="H930" s="8"/>
    </row>
    <row r="931" spans="7:8">
      <c r="G931" s="758"/>
      <c r="H931" s="8"/>
    </row>
    <row r="932" spans="7:8">
      <c r="G932" s="758"/>
      <c r="H932" s="8"/>
    </row>
    <row r="933" spans="7:8">
      <c r="G933" s="758"/>
      <c r="H933" s="8"/>
    </row>
    <row r="934" spans="7:8">
      <c r="G934" s="758"/>
      <c r="H934" s="8"/>
    </row>
    <row r="935" spans="7:8">
      <c r="G935" s="758"/>
      <c r="H935" s="8"/>
    </row>
    <row r="936" spans="7:8">
      <c r="G936" s="758"/>
      <c r="H936" s="8"/>
    </row>
    <row r="937" spans="7:8">
      <c r="G937" s="758"/>
      <c r="H937" s="8"/>
    </row>
    <row r="938" spans="7:8">
      <c r="G938" s="758"/>
      <c r="H938" s="8"/>
    </row>
    <row r="939" spans="7:8">
      <c r="G939" s="758"/>
      <c r="H939" s="8"/>
    </row>
    <row r="940" spans="7:8">
      <c r="G940" s="758"/>
      <c r="H940" s="8"/>
    </row>
    <row r="941" spans="7:8">
      <c r="G941" s="758"/>
      <c r="H941" s="8"/>
    </row>
    <row r="942" spans="7:8">
      <c r="G942" s="758"/>
      <c r="H942" s="8"/>
    </row>
    <row r="943" spans="7:8">
      <c r="G943" s="758"/>
      <c r="H943" s="8"/>
    </row>
    <row r="944" spans="7:8">
      <c r="G944" s="758"/>
      <c r="H944" s="8"/>
    </row>
    <row r="945" spans="7:8">
      <c r="G945" s="758"/>
      <c r="H945" s="8"/>
    </row>
    <row r="946" spans="7:8">
      <c r="G946" s="758"/>
      <c r="H946" s="8"/>
    </row>
    <row r="947" spans="7:8">
      <c r="G947" s="758"/>
      <c r="H947" s="8"/>
    </row>
    <row r="948" spans="7:8">
      <c r="G948" s="758"/>
      <c r="H948" s="8"/>
    </row>
    <row r="949" spans="7:8">
      <c r="G949" s="758"/>
      <c r="H949" s="8"/>
    </row>
    <row r="950" spans="7:8">
      <c r="G950" s="758"/>
      <c r="H950" s="8"/>
    </row>
    <row r="951" spans="7:8">
      <c r="G951" s="758"/>
      <c r="H951" s="8"/>
    </row>
    <row r="952" spans="7:8">
      <c r="G952" s="758"/>
      <c r="H952" s="8"/>
    </row>
    <row r="953" spans="7:8">
      <c r="G953" s="758"/>
      <c r="H953" s="8"/>
    </row>
    <row r="954" spans="7:8">
      <c r="G954" s="758"/>
      <c r="H954" s="8"/>
    </row>
    <row r="955" spans="7:8">
      <c r="G955" s="758"/>
      <c r="H955" s="8"/>
    </row>
    <row r="956" spans="7:8">
      <c r="G956" s="758"/>
      <c r="H956" s="8"/>
    </row>
    <row r="957" spans="7:8">
      <c r="G957" s="758"/>
      <c r="H957" s="8"/>
    </row>
    <row r="958" spans="7:8">
      <c r="G958" s="758"/>
      <c r="H958" s="8"/>
    </row>
    <row r="959" spans="7:8">
      <c r="G959" s="758"/>
      <c r="H959" s="8"/>
    </row>
    <row r="960" spans="7:8">
      <c r="G960" s="758"/>
      <c r="H960" s="8"/>
    </row>
    <row r="961" spans="7:8">
      <c r="G961" s="758"/>
      <c r="H961" s="8"/>
    </row>
    <row r="962" spans="7:8">
      <c r="G962" s="758"/>
      <c r="H962" s="8"/>
    </row>
    <row r="963" spans="7:8">
      <c r="G963" s="758"/>
      <c r="H963" s="8"/>
    </row>
    <row r="964" spans="7:8">
      <c r="G964" s="758"/>
      <c r="H964" s="8"/>
    </row>
    <row r="965" spans="7:8">
      <c r="G965" s="758"/>
      <c r="H965" s="8"/>
    </row>
    <row r="966" spans="7:8">
      <c r="G966" s="758"/>
      <c r="H966" s="8"/>
    </row>
    <row r="967" spans="7:8">
      <c r="G967" s="758"/>
      <c r="H967" s="8"/>
    </row>
    <row r="968" spans="7:8">
      <c r="G968" s="758"/>
      <c r="H968" s="8"/>
    </row>
    <row r="969" spans="7:8">
      <c r="G969" s="758"/>
      <c r="H969" s="8"/>
    </row>
    <row r="970" spans="7:8">
      <c r="G970" s="758"/>
      <c r="H970" s="8"/>
    </row>
    <row r="971" spans="7:8">
      <c r="G971" s="758"/>
      <c r="H971" s="8"/>
    </row>
    <row r="972" spans="7:8">
      <c r="G972" s="758"/>
      <c r="H972" s="8"/>
    </row>
    <row r="973" spans="7:8">
      <c r="G973" s="758"/>
      <c r="H973" s="8"/>
    </row>
    <row r="974" spans="7:8">
      <c r="G974" s="758"/>
      <c r="H974" s="8"/>
    </row>
    <row r="975" spans="7:8">
      <c r="G975" s="758"/>
      <c r="H975" s="8"/>
    </row>
    <row r="976" spans="7:8">
      <c r="G976" s="758"/>
      <c r="H976" s="8"/>
    </row>
    <row r="977" spans="7:8">
      <c r="G977" s="758"/>
      <c r="H977" s="8"/>
    </row>
    <row r="978" spans="7:8">
      <c r="G978" s="758"/>
      <c r="H978" s="8"/>
    </row>
    <row r="979" spans="7:8">
      <c r="G979" s="758"/>
      <c r="H979" s="8"/>
    </row>
    <row r="980" spans="7:8">
      <c r="G980" s="758"/>
      <c r="H980" s="8"/>
    </row>
    <row r="981" spans="7:8">
      <c r="G981" s="758"/>
      <c r="H981" s="8"/>
    </row>
    <row r="982" spans="7:8">
      <c r="G982" s="758"/>
      <c r="H982" s="8"/>
    </row>
    <row r="983" spans="7:8">
      <c r="G983" s="758"/>
      <c r="H983" s="8"/>
    </row>
    <row r="984" spans="7:8">
      <c r="G984" s="758"/>
      <c r="H984" s="8"/>
    </row>
    <row r="985" spans="7:8">
      <c r="G985" s="758"/>
      <c r="H985" s="8"/>
    </row>
    <row r="986" spans="7:8">
      <c r="G986" s="758"/>
      <c r="H986" s="8"/>
    </row>
    <row r="987" spans="7:8">
      <c r="G987" s="758"/>
      <c r="H987" s="8"/>
    </row>
    <row r="988" spans="7:8">
      <c r="G988" s="758"/>
      <c r="H988" s="8"/>
    </row>
    <row r="989" spans="7:8">
      <c r="G989" s="758"/>
      <c r="H989" s="8"/>
    </row>
    <row r="990" spans="7:8">
      <c r="G990" s="758"/>
      <c r="H990" s="8"/>
    </row>
    <row r="991" spans="7:8">
      <c r="G991" s="758"/>
      <c r="H991" s="8"/>
    </row>
    <row r="992" spans="7:8">
      <c r="G992" s="758"/>
      <c r="H992" s="8"/>
    </row>
    <row r="993" spans="7:8">
      <c r="G993" s="758"/>
      <c r="H993" s="8"/>
    </row>
    <row r="994" spans="7:8">
      <c r="G994" s="758"/>
      <c r="H994" s="8"/>
    </row>
    <row r="995" spans="7:8">
      <c r="G995" s="758"/>
      <c r="H995" s="8"/>
    </row>
    <row r="996" spans="7:8">
      <c r="G996" s="758"/>
      <c r="H996" s="8"/>
    </row>
    <row r="997" spans="7:8">
      <c r="G997" s="758"/>
      <c r="H997" s="8"/>
    </row>
    <row r="998" spans="7:8">
      <c r="G998" s="758"/>
      <c r="H998" s="8"/>
    </row>
    <row r="999" spans="7:8">
      <c r="G999" s="758"/>
      <c r="H999" s="8"/>
    </row>
    <row r="1000" spans="7:8">
      <c r="G1000" s="758"/>
      <c r="H1000" s="8"/>
    </row>
    <row r="1001" spans="7:8">
      <c r="G1001" s="758"/>
      <c r="H1001" s="8"/>
    </row>
    <row r="1002" spans="7:8">
      <c r="G1002" s="758"/>
      <c r="H1002" s="8"/>
    </row>
    <row r="1003" spans="7:8">
      <c r="G1003" s="758"/>
      <c r="H1003" s="8"/>
    </row>
    <row r="1004" spans="7:8">
      <c r="G1004" s="758"/>
      <c r="H1004" s="8"/>
    </row>
    <row r="1005" spans="7:8">
      <c r="G1005" s="758"/>
      <c r="H1005" s="8"/>
    </row>
    <row r="1006" spans="7:8">
      <c r="G1006" s="758"/>
      <c r="H1006" s="8"/>
    </row>
    <row r="1007" spans="7:8">
      <c r="G1007" s="758"/>
      <c r="H1007" s="8"/>
    </row>
    <row r="1008" spans="7:8">
      <c r="G1008" s="758"/>
      <c r="H1008" s="8"/>
    </row>
    <row r="1009" spans="7:8">
      <c r="G1009" s="758"/>
      <c r="H1009" s="8"/>
    </row>
    <row r="1010" spans="7:8">
      <c r="G1010" s="758"/>
      <c r="H1010" s="8"/>
    </row>
    <row r="1011" spans="7:8">
      <c r="G1011" s="758"/>
      <c r="H1011" s="8"/>
    </row>
    <row r="1012" spans="7:8">
      <c r="G1012" s="758"/>
      <c r="H1012" s="8"/>
    </row>
    <row r="1013" spans="7:8">
      <c r="G1013" s="758"/>
      <c r="H1013" s="8"/>
    </row>
    <row r="1014" spans="7:8">
      <c r="G1014" s="758"/>
      <c r="H1014" s="8"/>
    </row>
    <row r="1015" spans="7:8">
      <c r="G1015" s="758"/>
      <c r="H1015" s="8"/>
    </row>
    <row r="1016" spans="7:8">
      <c r="G1016" s="758"/>
      <c r="H1016" s="8"/>
    </row>
    <row r="1017" spans="7:8">
      <c r="G1017" s="758"/>
      <c r="H1017" s="8"/>
    </row>
    <row r="1018" spans="7:8">
      <c r="G1018" s="758"/>
      <c r="H1018" s="8"/>
    </row>
    <row r="1019" spans="7:8">
      <c r="G1019" s="758"/>
      <c r="H1019" s="8"/>
    </row>
    <row r="1020" spans="7:8">
      <c r="G1020" s="758"/>
      <c r="H1020" s="8"/>
    </row>
    <row r="1021" spans="7:8">
      <c r="G1021" s="758"/>
      <c r="H1021" s="8"/>
    </row>
    <row r="1022" spans="7:8">
      <c r="G1022" s="758"/>
      <c r="H1022" s="8"/>
    </row>
    <row r="1023" spans="7:8">
      <c r="G1023" s="758"/>
      <c r="H1023" s="8"/>
    </row>
    <row r="1024" spans="7:8">
      <c r="G1024" s="758"/>
      <c r="H1024" s="8"/>
    </row>
    <row r="1025" spans="7:8">
      <c r="G1025" s="758"/>
      <c r="H1025" s="8"/>
    </row>
    <row r="1026" spans="7:8">
      <c r="G1026" s="758"/>
      <c r="H1026" s="8"/>
    </row>
    <row r="1027" spans="7:8">
      <c r="G1027" s="758"/>
      <c r="H1027" s="8"/>
    </row>
    <row r="1028" spans="7:8">
      <c r="G1028" s="758"/>
      <c r="H1028" s="8"/>
    </row>
    <row r="1029" spans="7:8">
      <c r="G1029" s="758"/>
      <c r="H1029" s="8"/>
    </row>
    <row r="1030" spans="7:8">
      <c r="G1030" s="758"/>
      <c r="H1030" s="8"/>
    </row>
    <row r="1031" spans="7:8">
      <c r="G1031" s="758"/>
      <c r="H1031" s="8"/>
    </row>
    <row r="1032" spans="7:8">
      <c r="G1032" s="758"/>
      <c r="H1032" s="8"/>
    </row>
    <row r="1033" spans="7:8">
      <c r="G1033" s="758"/>
      <c r="H1033" s="8"/>
    </row>
    <row r="1034" spans="7:8">
      <c r="G1034" s="758"/>
      <c r="H1034" s="8"/>
    </row>
    <row r="1035" spans="7:8">
      <c r="G1035" s="758"/>
      <c r="H1035" s="8"/>
    </row>
    <row r="1036" spans="7:8">
      <c r="G1036" s="758"/>
      <c r="H1036" s="8"/>
    </row>
    <row r="1037" spans="7:8">
      <c r="G1037" s="758"/>
      <c r="H1037" s="8"/>
    </row>
    <row r="1038" spans="7:8">
      <c r="G1038" s="758"/>
      <c r="H1038" s="8"/>
    </row>
    <row r="1039" spans="7:8">
      <c r="G1039" s="758"/>
      <c r="H1039" s="8"/>
    </row>
    <row r="1040" spans="7:8">
      <c r="G1040" s="758"/>
      <c r="H1040" s="8"/>
    </row>
    <row r="1041" spans="7:8">
      <c r="G1041" s="758"/>
      <c r="H1041" s="8"/>
    </row>
    <row r="1042" spans="7:8">
      <c r="G1042" s="758"/>
      <c r="H1042" s="8"/>
    </row>
    <row r="1043" spans="7:8">
      <c r="G1043" s="758"/>
      <c r="H1043" s="8"/>
    </row>
    <row r="1044" spans="7:8">
      <c r="G1044" s="758"/>
      <c r="H1044" s="8"/>
    </row>
    <row r="1045" spans="7:8">
      <c r="G1045" s="758"/>
      <c r="H1045" s="8"/>
    </row>
    <row r="1046" spans="7:8">
      <c r="G1046" s="758"/>
      <c r="H1046" s="8"/>
    </row>
    <row r="1047" spans="7:8">
      <c r="G1047" s="758"/>
      <c r="H1047" s="8"/>
    </row>
    <row r="1048" spans="7:8">
      <c r="G1048" s="758"/>
      <c r="H1048" s="8"/>
    </row>
    <row r="1049" spans="7:8">
      <c r="G1049" s="758"/>
      <c r="H1049" s="8"/>
    </row>
    <row r="1050" spans="7:8">
      <c r="G1050" s="758"/>
      <c r="H1050" s="8"/>
    </row>
    <row r="1051" spans="7:8">
      <c r="G1051" s="758"/>
      <c r="H1051" s="8"/>
    </row>
    <row r="1052" spans="7:8">
      <c r="G1052" s="758"/>
      <c r="H1052" s="8"/>
    </row>
    <row r="1053" spans="7:8">
      <c r="G1053" s="758"/>
      <c r="H1053" s="8"/>
    </row>
    <row r="1054" spans="7:8">
      <c r="G1054" s="758"/>
      <c r="H1054" s="8"/>
    </row>
    <row r="1055" spans="7:8">
      <c r="G1055" s="758"/>
      <c r="H1055" s="8"/>
    </row>
    <row r="1056" spans="7:8">
      <c r="G1056" s="758"/>
      <c r="H1056" s="8"/>
    </row>
    <row r="1057" spans="7:8">
      <c r="G1057" s="758"/>
      <c r="H1057" s="8"/>
    </row>
    <row r="1058" spans="7:8">
      <c r="G1058" s="758"/>
      <c r="H1058" s="8"/>
    </row>
    <row r="1059" spans="7:8">
      <c r="G1059" s="758"/>
      <c r="H1059" s="8"/>
    </row>
    <row r="1060" spans="7:8">
      <c r="G1060" s="758"/>
      <c r="H1060" s="8"/>
    </row>
    <row r="1061" spans="7:8">
      <c r="G1061" s="758"/>
      <c r="H1061" s="8"/>
    </row>
    <row r="1062" spans="7:8">
      <c r="G1062" s="758"/>
      <c r="H1062" s="8"/>
    </row>
    <row r="1063" spans="7:8">
      <c r="G1063" s="758"/>
      <c r="H1063" s="8"/>
    </row>
    <row r="1064" spans="7:8">
      <c r="G1064" s="758"/>
      <c r="H1064" s="8"/>
    </row>
    <row r="1065" spans="7:8">
      <c r="G1065" s="758"/>
      <c r="H1065" s="8"/>
    </row>
    <row r="1066" spans="7:8">
      <c r="G1066" s="758"/>
      <c r="H1066" s="8"/>
    </row>
    <row r="1067" spans="7:8">
      <c r="G1067" s="758"/>
      <c r="H1067" s="8"/>
    </row>
    <row r="1068" spans="7:8">
      <c r="G1068" s="758"/>
      <c r="H1068" s="8"/>
    </row>
    <row r="1069" spans="7:8">
      <c r="G1069" s="758"/>
      <c r="H1069" s="8"/>
    </row>
    <row r="1070" spans="7:8">
      <c r="G1070" s="758"/>
      <c r="H1070" s="8"/>
    </row>
    <row r="1071" spans="7:8">
      <c r="G1071" s="758"/>
      <c r="H1071" s="8"/>
    </row>
    <row r="1072" spans="7:8">
      <c r="G1072" s="758"/>
      <c r="H1072" s="8"/>
    </row>
    <row r="1073" spans="7:8">
      <c r="G1073" s="758"/>
      <c r="H1073" s="8"/>
    </row>
    <row r="1074" spans="7:8">
      <c r="G1074" s="758"/>
      <c r="H1074" s="8"/>
    </row>
    <row r="1075" spans="7:8">
      <c r="G1075" s="758"/>
      <c r="H1075" s="8"/>
    </row>
    <row r="1076" spans="7:8">
      <c r="G1076" s="758"/>
      <c r="H1076" s="8"/>
    </row>
    <row r="1077" spans="7:8">
      <c r="G1077" s="758"/>
      <c r="H1077" s="8"/>
    </row>
    <row r="1078" spans="7:8">
      <c r="G1078" s="758"/>
      <c r="H1078" s="8"/>
    </row>
    <row r="1079" spans="7:8">
      <c r="G1079" s="758"/>
      <c r="H1079" s="8"/>
    </row>
    <row r="1080" spans="7:8">
      <c r="G1080" s="758"/>
      <c r="H1080" s="8"/>
    </row>
    <row r="1081" spans="7:8">
      <c r="G1081" s="758"/>
      <c r="H1081" s="8"/>
    </row>
    <row r="1082" spans="7:8">
      <c r="G1082" s="758"/>
      <c r="H1082" s="8"/>
    </row>
    <row r="1083" spans="7:8">
      <c r="G1083" s="758"/>
      <c r="H1083" s="8"/>
    </row>
    <row r="1084" spans="7:8">
      <c r="G1084" s="758"/>
      <c r="H1084" s="8"/>
    </row>
    <row r="1085" spans="7:8">
      <c r="G1085" s="758"/>
      <c r="H1085" s="8"/>
    </row>
    <row r="1086" spans="7:8">
      <c r="G1086" s="758"/>
      <c r="H1086" s="8"/>
    </row>
    <row r="1087" spans="7:8">
      <c r="G1087" s="758"/>
      <c r="H1087" s="8"/>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10:H310"/>
    <mergeCell ref="C314:H314"/>
    <mergeCell ref="C306:H306"/>
    <mergeCell ref="C319:H319"/>
    <mergeCell ref="C301:H301"/>
    <mergeCell ref="C307:H307"/>
    <mergeCell ref="C312:H312"/>
    <mergeCell ref="C316:H316"/>
    <mergeCell ref="C311:H311"/>
    <mergeCell ref="D2:F2"/>
    <mergeCell ref="D3:F3"/>
    <mergeCell ref="C298:H298"/>
    <mergeCell ref="C303:H303"/>
    <mergeCell ref="C304:H304"/>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9" max="7" man="1"/>
    <brk id="295" max="7" man="1"/>
  </rowBreaks>
  <customProperties>
    <customPr name="_pios_id" r:id="rId11"/>
    <customPr name="EpmWorksheetKeyString_GUID" r:id="rId12"/>
  </customProperties>
  <ignoredErrors>
    <ignoredError sqref="H21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U32"/>
  <sheetViews>
    <sheetView zoomScale="80" zoomScaleNormal="80" workbookViewId="0">
      <selection activeCell="A14" sqref="A14"/>
    </sheetView>
  </sheetViews>
  <sheetFormatPr defaultRowHeight="12.75"/>
  <cols>
    <col min="1" max="1" width="17.7109375" customWidth="1"/>
    <col min="2" max="2" width="6.42578125" customWidth="1"/>
    <col min="3" max="3" width="79.42578125"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 min="20" max="20" width="18.42578125" customWidth="1"/>
    <col min="21" max="21" width="17.42578125" customWidth="1"/>
  </cols>
  <sheetData>
    <row r="1" spans="1:21" ht="20.25">
      <c r="F1" s="437" t="str">
        <f>+'Appendix A'!A3</f>
        <v>Dayton Power and Light</v>
      </c>
    </row>
    <row r="2" spans="1:21" ht="20.25">
      <c r="F2" s="437" t="str">
        <f>+'Appendix A'!A4</f>
        <v xml:space="preserve">ATTACHMENT H-15A </v>
      </c>
      <c r="S2" s="627"/>
    </row>
    <row r="3" spans="1:21" ht="20.25">
      <c r="C3" s="354"/>
      <c r="F3" s="438"/>
    </row>
    <row r="4" spans="1:21" ht="20.25">
      <c r="F4" s="437" t="s">
        <v>1000</v>
      </c>
    </row>
    <row r="5" spans="1:21" ht="15">
      <c r="A5" s="45" t="s">
        <v>411</v>
      </c>
    </row>
    <row r="6" spans="1:21" ht="13.5" thickBot="1"/>
    <row r="7" spans="1:21" ht="16.5" thickBot="1">
      <c r="A7" s="78"/>
      <c r="B7" s="72"/>
      <c r="C7" s="71"/>
      <c r="D7" s="71"/>
      <c r="E7" s="79"/>
      <c r="F7" s="189" t="s">
        <v>490</v>
      </c>
      <c r="G7" s="925" t="s">
        <v>690</v>
      </c>
      <c r="H7" s="925"/>
      <c r="I7" s="925"/>
      <c r="J7" s="925"/>
      <c r="K7" s="925"/>
      <c r="L7" s="925"/>
      <c r="M7" s="925"/>
      <c r="N7" s="925"/>
      <c r="O7" s="925"/>
      <c r="P7" s="925"/>
      <c r="Q7" s="925"/>
      <c r="R7" s="926"/>
      <c r="S7" s="71"/>
      <c r="T7" s="927" t="s">
        <v>986</v>
      </c>
      <c r="U7" s="927"/>
    </row>
    <row r="8" spans="1:21" ht="32.25" thickBot="1">
      <c r="A8" s="118" t="s">
        <v>491</v>
      </c>
      <c r="B8" s="119" t="s">
        <v>492</v>
      </c>
      <c r="C8" s="119"/>
      <c r="D8" s="119"/>
      <c r="E8" s="767" t="s">
        <v>1032</v>
      </c>
      <c r="F8" s="498" t="s">
        <v>691</v>
      </c>
      <c r="G8" s="82" t="s">
        <v>496</v>
      </c>
      <c r="H8" s="82" t="s">
        <v>497</v>
      </c>
      <c r="I8" s="82" t="s">
        <v>498</v>
      </c>
      <c r="J8" s="82" t="s">
        <v>499</v>
      </c>
      <c r="K8" s="82" t="s">
        <v>374</v>
      </c>
      <c r="L8" s="82" t="s">
        <v>500</v>
      </c>
      <c r="M8" s="82" t="s">
        <v>501</v>
      </c>
      <c r="N8" s="82" t="s">
        <v>502</v>
      </c>
      <c r="O8" s="82" t="s">
        <v>503</v>
      </c>
      <c r="P8" s="82" t="s">
        <v>504</v>
      </c>
      <c r="Q8" s="82" t="s">
        <v>505</v>
      </c>
      <c r="R8" s="82" t="s">
        <v>692</v>
      </c>
      <c r="S8" s="660" t="s">
        <v>507</v>
      </c>
      <c r="T8" s="838" t="s">
        <v>1030</v>
      </c>
      <c r="U8" s="766" t="s">
        <v>984</v>
      </c>
    </row>
    <row r="9" spans="1:21" ht="15.75">
      <c r="A9" s="84"/>
      <c r="B9" s="85" t="s">
        <v>693</v>
      </c>
      <c r="C9" s="86"/>
      <c r="D9" s="86"/>
      <c r="E9" s="87"/>
      <c r="F9" s="184"/>
      <c r="G9" s="806"/>
      <c r="H9" s="806"/>
      <c r="I9" s="806"/>
      <c r="J9" s="806"/>
      <c r="K9" s="806"/>
      <c r="L9" s="806"/>
      <c r="M9" s="806"/>
      <c r="N9" s="806"/>
      <c r="O9" s="806"/>
      <c r="P9" s="806"/>
      <c r="Q9" s="806"/>
      <c r="R9" s="806"/>
      <c r="S9" s="184"/>
      <c r="U9" s="839"/>
    </row>
    <row r="10" spans="1:21" ht="15.75">
      <c r="A10" s="89">
        <v>1</v>
      </c>
      <c r="B10" s="73"/>
      <c r="C10" s="381" t="s">
        <v>970</v>
      </c>
      <c r="D10" s="71"/>
      <c r="E10" s="72" t="s">
        <v>694</v>
      </c>
      <c r="F10" s="681">
        <v>6893431.9500000002</v>
      </c>
      <c r="G10" s="681">
        <v>6893431.9500000002</v>
      </c>
      <c r="H10" s="681">
        <v>6893431.9500000002</v>
      </c>
      <c r="I10" s="681">
        <v>6893431.9500000002</v>
      </c>
      <c r="J10" s="681">
        <v>6893431.9500000002</v>
      </c>
      <c r="K10" s="681">
        <v>6893431.9500000002</v>
      </c>
      <c r="L10" s="681">
        <v>6893431.9500000002</v>
      </c>
      <c r="M10" s="681">
        <v>6893431.9500000002</v>
      </c>
      <c r="N10" s="681">
        <v>0</v>
      </c>
      <c r="O10" s="681">
        <v>0</v>
      </c>
      <c r="P10" s="681">
        <v>0</v>
      </c>
      <c r="Q10" s="681">
        <v>0</v>
      </c>
      <c r="R10" s="681">
        <v>0</v>
      </c>
      <c r="S10" s="379">
        <f t="shared" ref="S10:S25" si="0">AVERAGE(F10:R10)</f>
        <v>4242111.9692307701</v>
      </c>
      <c r="T10" s="59" t="s">
        <v>985</v>
      </c>
      <c r="U10" s="845">
        <v>45505</v>
      </c>
    </row>
    <row r="11" spans="1:21" ht="15.75">
      <c r="A11" s="89">
        <f t="shared" ref="A11:A24" si="1">+A10+1</f>
        <v>2</v>
      </c>
      <c r="B11" s="73"/>
      <c r="C11" s="381" t="s">
        <v>1001</v>
      </c>
      <c r="D11" s="71"/>
      <c r="E11" s="72" t="s">
        <v>694</v>
      </c>
      <c r="F11" s="681">
        <v>0</v>
      </c>
      <c r="G11" s="681">
        <v>0</v>
      </c>
      <c r="H11" s="681">
        <v>0</v>
      </c>
      <c r="I11" s="681">
        <v>0</v>
      </c>
      <c r="J11" s="681">
        <v>0</v>
      </c>
      <c r="K11" s="681">
        <v>0</v>
      </c>
      <c r="L11" s="681">
        <v>0</v>
      </c>
      <c r="M11" s="681">
        <v>0</v>
      </c>
      <c r="N11" s="681">
        <v>0</v>
      </c>
      <c r="O11" s="681">
        <v>0</v>
      </c>
      <c r="P11" s="681">
        <v>0</v>
      </c>
      <c r="Q11" s="681">
        <v>0</v>
      </c>
      <c r="R11" s="681">
        <v>0</v>
      </c>
      <c r="S11" s="379">
        <f t="shared" si="0"/>
        <v>0</v>
      </c>
      <c r="T11" s="855" t="s">
        <v>1031</v>
      </c>
      <c r="U11" s="845">
        <v>46357</v>
      </c>
    </row>
    <row r="12" spans="1:21" ht="15.75">
      <c r="A12" s="89">
        <f t="shared" si="1"/>
        <v>3</v>
      </c>
      <c r="B12" s="73"/>
      <c r="C12" s="381" t="s">
        <v>1002</v>
      </c>
      <c r="D12" s="71"/>
      <c r="E12" s="72" t="s">
        <v>694</v>
      </c>
      <c r="F12" s="681">
        <v>281492.67908999999</v>
      </c>
      <c r="G12" s="681">
        <v>512530.18212000001</v>
      </c>
      <c r="H12" s="681">
        <v>743567.68515000003</v>
      </c>
      <c r="I12" s="681">
        <v>974605.18818000006</v>
      </c>
      <c r="J12" s="681">
        <v>1205642.6912100001</v>
      </c>
      <c r="K12" s="681">
        <v>1436680.1942400001</v>
      </c>
      <c r="L12" s="681">
        <v>1667717.6972700001</v>
      </c>
      <c r="M12" s="681">
        <v>1898755.2003000001</v>
      </c>
      <c r="N12" s="681">
        <v>2129792.7033299999</v>
      </c>
      <c r="O12" s="681">
        <v>2360830.2063600002</v>
      </c>
      <c r="P12" s="681">
        <v>2591867.7093900004</v>
      </c>
      <c r="Q12" s="681">
        <v>2822905.2124200007</v>
      </c>
      <c r="R12" s="681">
        <v>3053942.71545</v>
      </c>
      <c r="S12" s="379">
        <f t="shared" si="0"/>
        <v>1667717.6972700001</v>
      </c>
      <c r="T12" s="59" t="s">
        <v>985</v>
      </c>
      <c r="U12" s="845">
        <v>45992</v>
      </c>
    </row>
    <row r="13" spans="1:21" ht="15.75">
      <c r="A13" s="89">
        <f t="shared" si="1"/>
        <v>4</v>
      </c>
      <c r="B13" s="73"/>
      <c r="C13" s="381" t="s">
        <v>1003</v>
      </c>
      <c r="D13" s="71"/>
      <c r="E13" s="72" t="s">
        <v>694</v>
      </c>
      <c r="F13" s="681">
        <v>317575.02</v>
      </c>
      <c r="G13" s="681">
        <v>609212.51697</v>
      </c>
      <c r="H13" s="681">
        <v>900850.01394000009</v>
      </c>
      <c r="I13" s="681">
        <v>1192487.5109100002</v>
      </c>
      <c r="J13" s="681">
        <v>1484125.0078800002</v>
      </c>
      <c r="K13" s="681">
        <v>1775762.5048500004</v>
      </c>
      <c r="L13" s="681">
        <v>2067400.0018200004</v>
      </c>
      <c r="M13" s="681">
        <v>2359037.4987900006</v>
      </c>
      <c r="N13" s="681">
        <v>2650674.9957600003</v>
      </c>
      <c r="O13" s="681">
        <v>2942312.4927300005</v>
      </c>
      <c r="P13" s="681">
        <v>3233949.9897000007</v>
      </c>
      <c r="Q13" s="681">
        <v>3525587.4866700005</v>
      </c>
      <c r="R13" s="681">
        <v>3817224.9836400007</v>
      </c>
      <c r="S13" s="379">
        <f t="shared" si="0"/>
        <v>2067400.0018200004</v>
      </c>
      <c r="T13" s="59" t="s">
        <v>985</v>
      </c>
      <c r="U13" s="845">
        <v>46357</v>
      </c>
    </row>
    <row r="14" spans="1:21" ht="15.75">
      <c r="A14" s="89">
        <f t="shared" si="1"/>
        <v>5</v>
      </c>
      <c r="B14" s="73"/>
      <c r="C14" s="381" t="s">
        <v>1029</v>
      </c>
      <c r="D14" s="71"/>
      <c r="E14" s="72" t="s">
        <v>694</v>
      </c>
      <c r="F14" s="681">
        <v>0</v>
      </c>
      <c r="G14" s="681">
        <v>181194.00000000003</v>
      </c>
      <c r="H14" s="681">
        <v>362388.00000000006</v>
      </c>
      <c r="I14" s="681">
        <v>543582.00000000012</v>
      </c>
      <c r="J14" s="681">
        <v>724776.00000000012</v>
      </c>
      <c r="K14" s="681">
        <v>905970.00000000012</v>
      </c>
      <c r="L14" s="681">
        <v>1087164.0000000002</v>
      </c>
      <c r="M14" s="681">
        <v>1268358.0000000002</v>
      </c>
      <c r="N14" s="681">
        <v>1449552.0000000002</v>
      </c>
      <c r="O14" s="681">
        <v>1630746.0000000002</v>
      </c>
      <c r="P14" s="681">
        <v>1811940.0000000002</v>
      </c>
      <c r="Q14" s="681">
        <v>1993134.0000000002</v>
      </c>
      <c r="R14" s="681">
        <v>2174328.0000000005</v>
      </c>
      <c r="S14" s="379">
        <f t="shared" si="0"/>
        <v>1087164.0000000002</v>
      </c>
      <c r="T14" s="59" t="s">
        <v>985</v>
      </c>
      <c r="U14" s="845">
        <v>46357</v>
      </c>
    </row>
    <row r="15" spans="1:21" ht="15.75">
      <c r="A15" s="89">
        <f t="shared" si="1"/>
        <v>6</v>
      </c>
      <c r="B15" s="73"/>
      <c r="C15" s="381" t="s">
        <v>1004</v>
      </c>
      <c r="D15" s="71"/>
      <c r="E15" s="72" t="s">
        <v>694</v>
      </c>
      <c r="F15" s="681">
        <v>19712.96</v>
      </c>
      <c r="G15" s="681">
        <v>35620.46</v>
      </c>
      <c r="H15" s="681">
        <v>51527.96</v>
      </c>
      <c r="I15" s="681">
        <v>67435.459999999992</v>
      </c>
      <c r="J15" s="681">
        <v>83342.959999999992</v>
      </c>
      <c r="K15" s="681">
        <v>99250.459999999992</v>
      </c>
      <c r="L15" s="681">
        <v>115157.95999999999</v>
      </c>
      <c r="M15" s="681">
        <v>131065.45999999999</v>
      </c>
      <c r="N15" s="681">
        <v>146972.96</v>
      </c>
      <c r="O15" s="681">
        <v>162880.46</v>
      </c>
      <c r="P15" s="681">
        <v>178787.96</v>
      </c>
      <c r="Q15" s="681">
        <v>194695.46</v>
      </c>
      <c r="R15" s="681">
        <v>0</v>
      </c>
      <c r="S15" s="379">
        <f t="shared" si="0"/>
        <v>98957.732307692291</v>
      </c>
      <c r="T15" s="59" t="s">
        <v>985</v>
      </c>
      <c r="U15" s="845">
        <v>45627</v>
      </c>
    </row>
    <row r="16" spans="1:21" ht="15.75">
      <c r="A16" s="89">
        <f t="shared" si="1"/>
        <v>7</v>
      </c>
      <c r="B16" s="73"/>
      <c r="C16" s="381" t="s">
        <v>1005</v>
      </c>
      <c r="D16" s="71"/>
      <c r="E16" s="72" t="s">
        <v>694</v>
      </c>
      <c r="F16" s="681">
        <v>13179082.812000001</v>
      </c>
      <c r="G16" s="681">
        <v>13547455.062000001</v>
      </c>
      <c r="H16" s="681">
        <v>13915827.312000001</v>
      </c>
      <c r="I16" s="681">
        <v>14284199.562000001</v>
      </c>
      <c r="J16" s="681">
        <v>14652571.812000001</v>
      </c>
      <c r="K16" s="681">
        <v>15020944.062000001</v>
      </c>
      <c r="L16" s="681">
        <v>15389316.311999999</v>
      </c>
      <c r="M16" s="681">
        <v>15757688.561999999</v>
      </c>
      <c r="N16" s="681">
        <v>16126060.811999999</v>
      </c>
      <c r="O16" s="681">
        <v>16494433.061999999</v>
      </c>
      <c r="P16" s="681">
        <v>16862805.311999999</v>
      </c>
      <c r="Q16" s="681">
        <v>17231177.561999999</v>
      </c>
      <c r="R16" s="681">
        <v>17599549.811999999</v>
      </c>
      <c r="S16" s="379">
        <f t="shared" si="0"/>
        <v>15389316.312000005</v>
      </c>
      <c r="T16" s="59" t="s">
        <v>985</v>
      </c>
      <c r="U16" s="845">
        <v>45992</v>
      </c>
    </row>
    <row r="17" spans="1:21" ht="15.75">
      <c r="A17" s="89">
        <f t="shared" si="1"/>
        <v>8</v>
      </c>
      <c r="B17" s="73"/>
      <c r="C17" s="381" t="s">
        <v>1006</v>
      </c>
      <c r="D17" s="71"/>
      <c r="E17" s="72" t="s">
        <v>694</v>
      </c>
      <c r="F17" s="681">
        <v>3482493.2700000005</v>
      </c>
      <c r="G17" s="681">
        <v>3943507.7730300007</v>
      </c>
      <c r="H17" s="681">
        <v>4404522.2760600001</v>
      </c>
      <c r="I17" s="681">
        <v>4865536.7790900003</v>
      </c>
      <c r="J17" s="681">
        <v>5326551.2821200006</v>
      </c>
      <c r="K17" s="681">
        <v>5787565.7851500008</v>
      </c>
      <c r="L17" s="681">
        <v>6248580.2881800011</v>
      </c>
      <c r="M17" s="681">
        <v>6709594.7912100004</v>
      </c>
      <c r="N17" s="681">
        <v>7170609.2942400007</v>
      </c>
      <c r="O17" s="681">
        <v>7631623.7972700009</v>
      </c>
      <c r="P17" s="681">
        <v>8092638.3003000002</v>
      </c>
      <c r="Q17" s="681">
        <v>8553652.8033300005</v>
      </c>
      <c r="R17" s="681">
        <v>9014667.3063600007</v>
      </c>
      <c r="S17" s="379">
        <f t="shared" si="0"/>
        <v>6248580.2881800001</v>
      </c>
      <c r="T17" s="59" t="s">
        <v>985</v>
      </c>
      <c r="U17" s="845">
        <v>45992</v>
      </c>
    </row>
    <row r="18" spans="1:21" ht="15.75">
      <c r="A18" s="89">
        <f t="shared" si="1"/>
        <v>9</v>
      </c>
      <c r="B18" s="73"/>
      <c r="C18" s="381" t="s">
        <v>1007</v>
      </c>
      <c r="D18" s="71"/>
      <c r="E18" s="72" t="s">
        <v>694</v>
      </c>
      <c r="F18" s="681">
        <v>1067241.7590900001</v>
      </c>
      <c r="G18" s="681">
        <v>1127235.7590900001</v>
      </c>
      <c r="H18" s="681">
        <v>1187229.7590900001</v>
      </c>
      <c r="I18" s="681">
        <v>1247223.7590900001</v>
      </c>
      <c r="J18" s="681">
        <v>1307217.7590900001</v>
      </c>
      <c r="K18" s="681">
        <v>1367211.7590900001</v>
      </c>
      <c r="L18" s="681">
        <v>1427205.7590900001</v>
      </c>
      <c r="M18" s="681">
        <v>1487199.7590900001</v>
      </c>
      <c r="N18" s="681">
        <v>1547193.7590900001</v>
      </c>
      <c r="O18" s="681">
        <v>1607187.7590900001</v>
      </c>
      <c r="P18" s="681">
        <v>1667181.7590900001</v>
      </c>
      <c r="Q18" s="681">
        <v>1727175.7590900001</v>
      </c>
      <c r="R18" s="681">
        <v>0</v>
      </c>
      <c r="S18" s="379">
        <f t="shared" si="0"/>
        <v>1289731.1622369234</v>
      </c>
      <c r="T18" s="59" t="s">
        <v>985</v>
      </c>
      <c r="U18" s="845">
        <v>45627</v>
      </c>
    </row>
    <row r="19" spans="1:21" ht="15.75">
      <c r="A19" s="89">
        <f t="shared" si="1"/>
        <v>10</v>
      </c>
      <c r="B19" s="73"/>
      <c r="C19" s="381" t="s">
        <v>1008</v>
      </c>
      <c r="D19" s="71"/>
      <c r="E19" s="72" t="s">
        <v>694</v>
      </c>
      <c r="F19" s="681">
        <f>+'[32]Trans Proj Sum NEW'!$CG$28+'[32]Trans Proj Sum NEW'!$CG$171</f>
        <v>1815385.29195</v>
      </c>
      <c r="G19" s="681">
        <f>+'[32]Trans Proj Sum NEW'!$CH$28+'[32]Trans Proj Sum NEW'!$CH$171</f>
        <v>1974081.54195</v>
      </c>
      <c r="H19" s="681">
        <f>+'[32]Trans Proj Sum NEW'!$CI$28+'[32]Trans Proj Sum NEW'!$CI$171</f>
        <v>2132777.79195</v>
      </c>
      <c r="I19" s="681">
        <f>+'[32]Trans Proj Sum NEW'!$CJ$28+'[32]Trans Proj Sum NEW'!$CK$171</f>
        <v>2359270.29195</v>
      </c>
      <c r="J19" s="681">
        <f>+'[32]Trans Proj Sum NEW'!$CK$28+'[32]Trans Proj Sum NEW'!$CK$171</f>
        <v>2450170.29195</v>
      </c>
      <c r="K19" s="681">
        <f>+'[32]Trans Proj Sum NEW'!$CL$28+'[32]Trans Proj Sum NEW'!$CL$171</f>
        <v>2608866.54195</v>
      </c>
      <c r="L19" s="681">
        <f>+'[32]Trans Proj Sum NEW'!$CM$28+'[32]Trans Proj Sum NEW'!$CM$171</f>
        <v>2767562.79195</v>
      </c>
      <c r="M19" s="681">
        <f>+'[32]Trans Proj Sum NEW'!$CN$28+'[32]Trans Proj Sum NEW'!$CN$171</f>
        <v>2926259.04195</v>
      </c>
      <c r="N19" s="681">
        <f>+'[32]Trans Proj Sum NEW'!$CO$28+'[32]Trans Proj Sum NEW'!$CO$171</f>
        <v>3084955.29195</v>
      </c>
      <c r="O19" s="681">
        <f>+'[32]Trans Proj Sum NEW'!$CP$28+'[32]Trans Proj Sum NEW'!$CP$171</f>
        <v>3243651.54195</v>
      </c>
      <c r="P19" s="681">
        <f>+'[32]Trans Proj Sum NEW'!$CQ$28+'[32]Trans Proj Sum NEW'!$CQ$171</f>
        <v>3402347.79195</v>
      </c>
      <c r="Q19" s="681">
        <f>+'[32]Trans Proj Sum NEW'!$CR$28+'[32]Trans Proj Sum NEW'!$CR$171</f>
        <v>3561044.04195</v>
      </c>
      <c r="R19" s="681">
        <v>0</v>
      </c>
      <c r="S19" s="379">
        <f t="shared" si="0"/>
        <v>2486644.0194923072</v>
      </c>
      <c r="T19" s="59" t="s">
        <v>985</v>
      </c>
      <c r="U19" s="845">
        <v>45627</v>
      </c>
    </row>
    <row r="20" spans="1:21" ht="15.75">
      <c r="A20" s="89">
        <f t="shared" si="1"/>
        <v>11</v>
      </c>
      <c r="B20" s="73"/>
      <c r="C20" s="381" t="s">
        <v>1009</v>
      </c>
      <c r="D20" s="71"/>
      <c r="E20" s="72" t="s">
        <v>694</v>
      </c>
      <c r="F20" s="681">
        <v>6049973.9140000008</v>
      </c>
      <c r="G20" s="681">
        <v>6304872.6670300011</v>
      </c>
      <c r="H20" s="681">
        <v>6559771.4200600004</v>
      </c>
      <c r="I20" s="681">
        <v>6814670.1730900006</v>
      </c>
      <c r="J20" s="681">
        <v>7069568.9261200009</v>
      </c>
      <c r="K20" s="681">
        <v>7324467.6791500002</v>
      </c>
      <c r="L20" s="681">
        <v>7579366.4321800005</v>
      </c>
      <c r="M20" s="681">
        <v>7834265.1852100007</v>
      </c>
      <c r="N20" s="681">
        <v>8089163.93824</v>
      </c>
      <c r="O20" s="681">
        <v>8344062.6912700003</v>
      </c>
      <c r="P20" s="681">
        <v>8598961.4442999996</v>
      </c>
      <c r="Q20" s="681">
        <v>8853860.1973299999</v>
      </c>
      <c r="R20" s="681">
        <v>0</v>
      </c>
      <c r="S20" s="379">
        <f t="shared" si="0"/>
        <v>6878692.6667676922</v>
      </c>
      <c r="T20" s="59" t="s">
        <v>985</v>
      </c>
      <c r="U20" s="845">
        <v>45627</v>
      </c>
    </row>
    <row r="21" spans="1:21" ht="15.75">
      <c r="A21" s="851">
        <f t="shared" si="1"/>
        <v>12</v>
      </c>
      <c r="B21" s="73"/>
      <c r="C21" s="381" t="s">
        <v>1010</v>
      </c>
      <c r="D21" s="71"/>
      <c r="E21" s="72" t="s">
        <v>694</v>
      </c>
      <c r="F21" s="681">
        <v>14862707.670000002</v>
      </c>
      <c r="G21" s="681">
        <v>15468707.673030002</v>
      </c>
      <c r="H21" s="681">
        <v>16074707.676060002</v>
      </c>
      <c r="I21" s="681">
        <v>16680707.679090001</v>
      </c>
      <c r="J21" s="681">
        <v>17286707.682120003</v>
      </c>
      <c r="K21" s="681">
        <v>17892707.685150001</v>
      </c>
      <c r="L21" s="681">
        <v>18498707.68818</v>
      </c>
      <c r="M21" s="681">
        <v>19104707.691210002</v>
      </c>
      <c r="N21" s="681">
        <v>19710707.69424</v>
      </c>
      <c r="O21" s="681">
        <v>20316707.697270002</v>
      </c>
      <c r="P21" s="681">
        <v>20922707.700300001</v>
      </c>
      <c r="Q21" s="681">
        <v>21528707.703330003</v>
      </c>
      <c r="R21" s="681">
        <v>0</v>
      </c>
      <c r="S21" s="379">
        <f t="shared" si="0"/>
        <v>16796037.86461385</v>
      </c>
      <c r="T21" s="59" t="s">
        <v>985</v>
      </c>
      <c r="U21" s="845">
        <v>45627</v>
      </c>
    </row>
    <row r="22" spans="1:21" ht="15.75">
      <c r="A22" s="89">
        <f t="shared" si="1"/>
        <v>13</v>
      </c>
      <c r="B22" s="73"/>
      <c r="C22" s="381" t="s">
        <v>1013</v>
      </c>
      <c r="D22" s="71"/>
      <c r="E22" s="72" t="s">
        <v>694</v>
      </c>
      <c r="F22" s="681">
        <v>21787223.335000001</v>
      </c>
      <c r="G22" s="681">
        <v>25243979.102125</v>
      </c>
      <c r="H22" s="681">
        <v>28700734.86925</v>
      </c>
      <c r="I22" s="681">
        <v>32157490.636375003</v>
      </c>
      <c r="J22" s="681">
        <v>35614246.403500006</v>
      </c>
      <c r="K22" s="681">
        <v>39071002.170625001</v>
      </c>
      <c r="L22" s="681">
        <v>42527757.937750004</v>
      </c>
      <c r="M22" s="681">
        <v>45984513.704875007</v>
      </c>
      <c r="N22" s="681">
        <v>0</v>
      </c>
      <c r="O22" s="681">
        <v>0</v>
      </c>
      <c r="P22" s="681">
        <v>0</v>
      </c>
      <c r="Q22" s="681">
        <v>0</v>
      </c>
      <c r="R22" s="681">
        <v>0</v>
      </c>
      <c r="S22" s="379">
        <f t="shared" si="0"/>
        <v>20852842.166115385</v>
      </c>
      <c r="T22" s="59" t="s">
        <v>985</v>
      </c>
      <c r="U22" s="845">
        <v>45505</v>
      </c>
    </row>
    <row r="23" spans="1:21" ht="15.75">
      <c r="A23" s="89">
        <f t="shared" si="1"/>
        <v>14</v>
      </c>
      <c r="B23" s="73"/>
      <c r="C23" s="381" t="s">
        <v>1011</v>
      </c>
      <c r="D23" s="71"/>
      <c r="E23" s="72" t="s">
        <v>694</v>
      </c>
      <c r="F23" s="681">
        <v>9156227.2689999994</v>
      </c>
      <c r="G23" s="681">
        <v>11837992.133874999</v>
      </c>
      <c r="H23" s="681">
        <v>14519756.998749999</v>
      </c>
      <c r="I23" s="681">
        <v>17201521.863624997</v>
      </c>
      <c r="J23" s="681">
        <v>19883286.728500001</v>
      </c>
      <c r="K23" s="681">
        <v>22565051.593374997</v>
      </c>
      <c r="L23" s="681">
        <v>25246816.458250001</v>
      </c>
      <c r="M23" s="681">
        <v>27928581.323124997</v>
      </c>
      <c r="N23" s="681">
        <v>0</v>
      </c>
      <c r="O23" s="681">
        <v>0</v>
      </c>
      <c r="P23" s="681">
        <v>0</v>
      </c>
      <c r="Q23" s="681">
        <v>0</v>
      </c>
      <c r="R23" s="681">
        <v>0</v>
      </c>
      <c r="S23" s="379">
        <f t="shared" si="0"/>
        <v>11410710.336038461</v>
      </c>
      <c r="T23" s="59" t="s">
        <v>985</v>
      </c>
      <c r="U23" s="845">
        <v>45505</v>
      </c>
    </row>
    <row r="24" spans="1:21" ht="15.75">
      <c r="A24" s="89">
        <f t="shared" si="1"/>
        <v>15</v>
      </c>
      <c r="B24" s="73"/>
      <c r="C24" s="381" t="s">
        <v>1012</v>
      </c>
      <c r="D24" s="71"/>
      <c r="E24" s="72" t="s">
        <v>694</v>
      </c>
      <c r="F24" s="681">
        <v>345661.59300000005</v>
      </c>
      <c r="G24" s="681">
        <v>642922.65937500005</v>
      </c>
      <c r="H24" s="681">
        <v>940183.72574999998</v>
      </c>
      <c r="I24" s="681">
        <v>1237444.7921250002</v>
      </c>
      <c r="J24" s="681">
        <v>1534705.8585000001</v>
      </c>
      <c r="K24" s="681">
        <v>1831966.924875</v>
      </c>
      <c r="L24" s="681">
        <v>2129227.99125</v>
      </c>
      <c r="M24" s="681">
        <v>2426489.0576249999</v>
      </c>
      <c r="N24" s="681">
        <v>0</v>
      </c>
      <c r="O24" s="681">
        <v>0</v>
      </c>
      <c r="P24" s="681">
        <v>0</v>
      </c>
      <c r="Q24" s="681">
        <v>0</v>
      </c>
      <c r="R24" s="681">
        <v>0</v>
      </c>
      <c r="S24" s="379">
        <f t="shared" si="0"/>
        <v>852969.43096153834</v>
      </c>
      <c r="T24" s="59" t="s">
        <v>985</v>
      </c>
      <c r="U24" s="845">
        <v>45505</v>
      </c>
    </row>
    <row r="25" spans="1:21" ht="15.75">
      <c r="A25" s="89">
        <f>+A24+1</f>
        <v>16</v>
      </c>
      <c r="B25" s="73"/>
      <c r="C25" s="381" t="s">
        <v>1014</v>
      </c>
      <c r="D25" s="71"/>
      <c r="E25" s="72" t="s">
        <v>694</v>
      </c>
      <c r="F25" s="681">
        <v>0</v>
      </c>
      <c r="G25" s="681">
        <v>0</v>
      </c>
      <c r="H25" s="681">
        <v>0</v>
      </c>
      <c r="I25" s="681">
        <v>0</v>
      </c>
      <c r="J25" s="681">
        <v>0</v>
      </c>
      <c r="K25" s="681">
        <v>0</v>
      </c>
      <c r="L25" s="681">
        <v>0</v>
      </c>
      <c r="M25" s="681">
        <v>0</v>
      </c>
      <c r="N25" s="681">
        <v>0</v>
      </c>
      <c r="O25" s="681">
        <v>0</v>
      </c>
      <c r="P25" s="681">
        <v>0</v>
      </c>
      <c r="Q25" s="681">
        <v>0</v>
      </c>
      <c r="R25" s="681">
        <v>0</v>
      </c>
      <c r="S25" s="379">
        <f t="shared" si="0"/>
        <v>0</v>
      </c>
      <c r="T25" s="59" t="s">
        <v>1035</v>
      </c>
      <c r="U25" s="845">
        <v>45200</v>
      </c>
    </row>
    <row r="26" spans="1:21" ht="15.75">
      <c r="A26" s="89"/>
      <c r="B26" s="73"/>
      <c r="C26" s="71"/>
      <c r="D26" s="71"/>
      <c r="E26" s="72"/>
      <c r="F26" s="674"/>
      <c r="G26" s="674"/>
      <c r="H26" s="674"/>
      <c r="I26" s="674"/>
      <c r="J26" s="674"/>
      <c r="K26" s="674"/>
      <c r="L26" s="674"/>
      <c r="M26" s="674"/>
      <c r="N26" s="674"/>
      <c r="O26" s="674"/>
      <c r="P26" s="674"/>
      <c r="Q26" s="674"/>
      <c r="R26" s="674"/>
      <c r="S26" s="379"/>
      <c r="T26" s="59"/>
      <c r="U26" s="840"/>
    </row>
    <row r="27" spans="1:21" ht="15.75">
      <c r="A27" s="89">
        <f>+A25+1</f>
        <v>17</v>
      </c>
      <c r="B27" s="73"/>
      <c r="C27" s="71" t="s">
        <v>67</v>
      </c>
      <c r="D27" s="71"/>
      <c r="E27" s="72"/>
      <c r="F27" s="379">
        <f>+SUM(F10:F25)</f>
        <v>79258209.52313</v>
      </c>
      <c r="G27" s="379">
        <f t="shared" ref="G27:R27" si="2">+SUM(G10:G25)</f>
        <v>88322743.480594993</v>
      </c>
      <c r="H27" s="379">
        <f t="shared" si="2"/>
        <v>97387277.438060001</v>
      </c>
      <c r="I27" s="379">
        <f t="shared" si="2"/>
        <v>106519607.64552499</v>
      </c>
      <c r="J27" s="379">
        <f t="shared" si="2"/>
        <v>115516345.35299</v>
      </c>
      <c r="K27" s="379">
        <f t="shared" si="2"/>
        <v>124580879.31045501</v>
      </c>
      <c r="L27" s="379">
        <f t="shared" si="2"/>
        <v>133645413.26792</v>
      </c>
      <c r="M27" s="379">
        <f t="shared" si="2"/>
        <v>142709947.22538501</v>
      </c>
      <c r="N27" s="379">
        <f t="shared" si="2"/>
        <v>62105683.448850006</v>
      </c>
      <c r="O27" s="379">
        <f t="shared" si="2"/>
        <v>64734435.707939997</v>
      </c>
      <c r="P27" s="379">
        <f t="shared" si="2"/>
        <v>67363187.967029989</v>
      </c>
      <c r="Q27" s="379">
        <f t="shared" si="2"/>
        <v>69991940.226119995</v>
      </c>
      <c r="R27" s="379">
        <f t="shared" si="2"/>
        <v>35659712.817450002</v>
      </c>
      <c r="S27" s="379">
        <f>+SUM(S10:S25)</f>
        <v>91368875.647034615</v>
      </c>
      <c r="T27" s="59"/>
      <c r="U27" s="840"/>
    </row>
    <row r="28" spans="1:21" ht="16.5" thickBot="1">
      <c r="A28" s="105"/>
      <c r="B28" s="95"/>
      <c r="C28" s="97"/>
      <c r="D28" s="97"/>
      <c r="E28" s="98"/>
      <c r="F28" s="380"/>
      <c r="G28" s="380"/>
      <c r="H28" s="380"/>
      <c r="I28" s="380"/>
      <c r="J28" s="380"/>
      <c r="K28" s="380"/>
      <c r="L28" s="380"/>
      <c r="M28" s="380"/>
      <c r="N28" s="380"/>
      <c r="O28" s="380"/>
      <c r="P28" s="380"/>
      <c r="Q28" s="380"/>
      <c r="R28" s="380"/>
      <c r="S28" s="380"/>
      <c r="T28" s="853"/>
      <c r="U28" s="854"/>
    </row>
    <row r="30" spans="1:21" ht="15">
      <c r="A30" s="45"/>
      <c r="B30" s="45"/>
      <c r="C30" s="45"/>
      <c r="S30" s="824"/>
    </row>
    <row r="31" spans="1:21" ht="15">
      <c r="A31" s="45"/>
      <c r="B31" s="45"/>
      <c r="C31" s="45"/>
    </row>
    <row r="32" spans="1:21" ht="15">
      <c r="A32" s="45"/>
    </row>
  </sheetData>
  <mergeCells count="2">
    <mergeCell ref="G7:R7"/>
    <mergeCell ref="T7:U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A18" zoomScale="75" zoomScaleNormal="75" workbookViewId="0">
      <selection activeCell="I36" sqref="I36"/>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93" t="str">
        <f>+'Appendix A'!A3</f>
        <v>Dayton Power and Light</v>
      </c>
      <c r="C2" s="893"/>
      <c r="D2" s="893"/>
      <c r="E2" s="893"/>
      <c r="F2" s="893"/>
      <c r="G2" s="893"/>
      <c r="H2" s="893"/>
      <c r="I2" s="893"/>
      <c r="J2" s="893"/>
      <c r="K2" s="893"/>
      <c r="L2" s="893"/>
    </row>
    <row r="3" spans="2:13" ht="18">
      <c r="B3" s="893" t="str">
        <f>+'Appendix A'!A4</f>
        <v xml:space="preserve">ATTACHMENT H-15A </v>
      </c>
      <c r="C3" s="893"/>
      <c r="D3" s="893"/>
      <c r="E3" s="893"/>
      <c r="F3" s="893"/>
      <c r="G3" s="893"/>
      <c r="H3" s="893"/>
      <c r="I3" s="893"/>
      <c r="J3" s="893"/>
      <c r="K3" s="627"/>
      <c r="L3" s="178"/>
    </row>
    <row r="4" spans="2:13" ht="18">
      <c r="B4" s="893" t="s">
        <v>1015</v>
      </c>
      <c r="C4" s="893"/>
      <c r="D4" s="893"/>
      <c r="E4" s="893"/>
      <c r="F4" s="893"/>
      <c r="G4" s="893"/>
      <c r="H4" s="893"/>
      <c r="I4" s="893"/>
      <c r="J4" s="893"/>
      <c r="K4" s="893"/>
      <c r="L4" s="893"/>
    </row>
    <row r="5" spans="2:13" ht="15.75">
      <c r="B5" s="79"/>
      <c r="C5" s="79"/>
      <c r="D5" s="79"/>
      <c r="E5" s="79"/>
      <c r="F5" s="79"/>
      <c r="G5" s="79"/>
      <c r="H5" s="79"/>
      <c r="I5" s="79"/>
      <c r="J5" s="79"/>
      <c r="K5" s="79"/>
      <c r="L5" s="79"/>
    </row>
    <row r="6" spans="2:13" ht="15">
      <c r="B6" s="45" t="s">
        <v>411</v>
      </c>
      <c r="C6" s="71"/>
      <c r="D6" s="71"/>
      <c r="E6" s="71"/>
      <c r="F6" s="71"/>
      <c r="G6" s="71"/>
      <c r="H6" s="71"/>
      <c r="I6" s="71"/>
      <c r="J6" s="71"/>
      <c r="K6" s="71"/>
      <c r="L6" s="71"/>
      <c r="M6" s="71"/>
    </row>
    <row r="7" spans="2:13" ht="15">
      <c r="B7" s="90" t="s">
        <v>695</v>
      </c>
      <c r="C7" s="71"/>
      <c r="E7" s="71"/>
      <c r="F7" s="71"/>
      <c r="G7" s="71"/>
      <c r="H7" s="71"/>
      <c r="I7" s="71"/>
      <c r="J7" s="71"/>
      <c r="K7" s="71"/>
      <c r="L7" s="71"/>
      <c r="M7" s="71"/>
    </row>
    <row r="8" spans="2:13" ht="15">
      <c r="B8" s="72"/>
      <c r="C8" s="71"/>
      <c r="E8" s="71"/>
      <c r="F8" s="71"/>
      <c r="G8" s="71"/>
      <c r="H8" s="71"/>
      <c r="I8" s="71"/>
      <c r="J8" s="71"/>
      <c r="K8" s="71"/>
      <c r="L8" s="71"/>
    </row>
    <row r="9" spans="2:13" ht="15">
      <c r="B9" s="72" t="s">
        <v>344</v>
      </c>
      <c r="C9" s="71" t="s">
        <v>696</v>
      </c>
      <c r="E9" s="71"/>
      <c r="F9" s="71"/>
      <c r="G9" s="71"/>
      <c r="H9" s="71"/>
      <c r="I9" s="71"/>
      <c r="J9" s="71"/>
      <c r="K9" s="71"/>
      <c r="L9" s="71"/>
    </row>
    <row r="10" spans="2:13" ht="15">
      <c r="B10" s="72"/>
      <c r="C10" s="71" t="s">
        <v>697</v>
      </c>
      <c r="E10" s="71"/>
      <c r="F10" s="71"/>
      <c r="G10" s="71"/>
      <c r="H10" s="71"/>
      <c r="I10" s="71"/>
      <c r="J10" s="71"/>
      <c r="K10" s="71"/>
      <c r="L10" s="71"/>
    </row>
    <row r="11" spans="2:13" ht="15">
      <c r="B11" s="72"/>
      <c r="C11" s="71" t="s">
        <v>698</v>
      </c>
      <c r="E11" s="71"/>
      <c r="F11" s="71"/>
      <c r="G11" s="71"/>
      <c r="H11" s="316"/>
      <c r="J11" s="71"/>
      <c r="K11" s="71"/>
      <c r="L11" s="71"/>
    </row>
    <row r="12" spans="2:13" ht="15">
      <c r="B12" s="72"/>
      <c r="E12" s="71"/>
      <c r="F12" s="71"/>
      <c r="G12" s="71"/>
      <c r="H12" s="316"/>
      <c r="J12" s="71"/>
      <c r="K12" s="71"/>
      <c r="L12" s="71"/>
    </row>
    <row r="13" spans="2:13" ht="15">
      <c r="B13" s="72" t="s">
        <v>699</v>
      </c>
      <c r="C13" s="71" t="s">
        <v>700</v>
      </c>
      <c r="E13" s="71"/>
      <c r="F13" s="71"/>
      <c r="G13" s="71"/>
      <c r="H13" s="316"/>
      <c r="J13" s="71"/>
      <c r="K13" s="71"/>
      <c r="L13" s="71"/>
    </row>
    <row r="14" spans="2:13" ht="15">
      <c r="B14" s="72"/>
      <c r="C14" s="71" t="s">
        <v>701</v>
      </c>
      <c r="E14" s="71"/>
      <c r="F14" s="71"/>
      <c r="G14" s="71"/>
      <c r="H14" s="71"/>
      <c r="I14" s="71"/>
      <c r="J14" s="71"/>
      <c r="K14" s="71"/>
      <c r="L14" s="71"/>
    </row>
    <row r="15" spans="2:13" ht="15">
      <c r="B15" s="72"/>
      <c r="C15" s="71"/>
      <c r="E15" s="71"/>
      <c r="F15" s="71"/>
      <c r="G15" s="71"/>
      <c r="H15" s="71"/>
      <c r="I15" s="71"/>
      <c r="J15" s="71"/>
      <c r="K15" s="71"/>
      <c r="L15" s="71"/>
    </row>
    <row r="16" spans="2:13" ht="15">
      <c r="B16" s="72" t="s">
        <v>702</v>
      </c>
      <c r="C16" s="71" t="s">
        <v>703</v>
      </c>
      <c r="E16" s="71"/>
      <c r="F16" s="71"/>
      <c r="G16" s="71"/>
      <c r="H16" s="71"/>
      <c r="I16" s="71"/>
      <c r="J16" s="71"/>
      <c r="K16" s="71"/>
      <c r="L16" s="71"/>
    </row>
    <row r="17" spans="2:13" ht="15">
      <c r="B17" s="72"/>
      <c r="C17" s="71" t="s">
        <v>704</v>
      </c>
      <c r="E17" s="71"/>
      <c r="F17" s="71"/>
      <c r="G17" s="71"/>
      <c r="H17" s="71"/>
      <c r="I17" s="71"/>
      <c r="J17" s="71"/>
      <c r="K17" s="71"/>
      <c r="L17" s="71"/>
    </row>
    <row r="18" spans="2:13" ht="15">
      <c r="G18" s="71"/>
      <c r="H18" s="71"/>
      <c r="I18" s="71"/>
      <c r="J18" s="71"/>
      <c r="K18" s="71"/>
      <c r="L18" s="71"/>
    </row>
    <row r="19" spans="2:13" ht="15">
      <c r="B19" s="72" t="s">
        <v>705</v>
      </c>
      <c r="C19" s="71" t="s">
        <v>706</v>
      </c>
      <c r="D19" s="71"/>
      <c r="F19" s="71"/>
      <c r="G19" s="71"/>
      <c r="H19" s="71"/>
      <c r="I19" s="71"/>
      <c r="J19" s="71"/>
      <c r="L19" s="71"/>
    </row>
    <row r="20" spans="2:13" ht="15">
      <c r="D20" s="71"/>
      <c r="F20" s="71"/>
      <c r="G20" s="71"/>
      <c r="H20" s="71"/>
      <c r="I20" s="71"/>
      <c r="J20" s="71"/>
      <c r="K20" s="317"/>
      <c r="L20" s="71"/>
    </row>
    <row r="21" spans="2:13" ht="15">
      <c r="C21" s="71" t="s">
        <v>707</v>
      </c>
      <c r="D21" s="72" t="s">
        <v>708</v>
      </c>
      <c r="E21" s="71" t="s">
        <v>709</v>
      </c>
      <c r="F21" s="71"/>
      <c r="G21" s="71"/>
      <c r="H21" s="71"/>
      <c r="I21" s="71"/>
      <c r="J21" s="71"/>
      <c r="K21" s="71"/>
      <c r="L21" s="71"/>
    </row>
    <row r="22" spans="2:13" ht="15">
      <c r="E22" s="71" t="s">
        <v>710</v>
      </c>
      <c r="F22" s="71"/>
      <c r="G22" s="71"/>
      <c r="H22" s="71"/>
      <c r="I22" s="71"/>
      <c r="J22" s="71"/>
      <c r="K22" s="71"/>
      <c r="L22" s="71"/>
    </row>
    <row r="23" spans="2:13" ht="15">
      <c r="E23" s="71" t="s">
        <v>711</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712</v>
      </c>
      <c r="F26" s="71"/>
      <c r="G26" s="71"/>
      <c r="H26" s="71"/>
      <c r="I26" s="71"/>
    </row>
    <row r="27" spans="2:13" ht="16.5">
      <c r="B27" s="320"/>
      <c r="C27" s="71" t="s">
        <v>713</v>
      </c>
      <c r="F27" s="71"/>
      <c r="G27" s="71"/>
      <c r="I27" s="71"/>
    </row>
    <row r="28" spans="2:13" ht="15">
      <c r="B28" s="72"/>
      <c r="C28" s="71" t="s">
        <v>714</v>
      </c>
      <c r="F28" s="71"/>
      <c r="G28" s="71"/>
    </row>
    <row r="29" spans="2:13" ht="15">
      <c r="B29" s="72"/>
      <c r="C29" s="71" t="s">
        <v>715</v>
      </c>
      <c r="F29" s="71"/>
      <c r="G29" s="71"/>
      <c r="M29" s="70"/>
    </row>
    <row r="30" spans="2:13" ht="15">
      <c r="B30" s="72"/>
      <c r="C30" s="71" t="s">
        <v>716</v>
      </c>
    </row>
    <row r="31" spans="2:13" ht="15">
      <c r="B31" s="72"/>
      <c r="C31" s="71" t="s">
        <v>717</v>
      </c>
      <c r="H31" s="71"/>
    </row>
    <row r="32" spans="2:13" ht="15">
      <c r="B32" s="72"/>
    </row>
    <row r="33" spans="1:13" ht="15">
      <c r="H33" s="71"/>
      <c r="I33" s="71"/>
      <c r="J33" s="71"/>
      <c r="K33" s="71"/>
    </row>
    <row r="34" spans="1:13" ht="15">
      <c r="A34" s="540" t="s">
        <v>718</v>
      </c>
      <c r="C34" s="71"/>
      <c r="D34" s="72"/>
      <c r="E34" s="71"/>
      <c r="F34" s="71"/>
      <c r="G34" s="71"/>
      <c r="I34" s="72" t="s">
        <v>719</v>
      </c>
      <c r="J34" s="72" t="s">
        <v>720</v>
      </c>
    </row>
    <row r="35" spans="1:13" ht="15">
      <c r="C35" s="71"/>
      <c r="D35" s="72"/>
      <c r="E35" s="71"/>
      <c r="F35" s="71"/>
      <c r="G35" s="71"/>
      <c r="I35" s="384" t="s">
        <v>721</v>
      </c>
      <c r="J35" s="384" t="s">
        <v>721</v>
      </c>
      <c r="K35" s="440" t="s">
        <v>722</v>
      </c>
    </row>
    <row r="36" spans="1:13" ht="15">
      <c r="A36" s="69">
        <v>1</v>
      </c>
      <c r="B36" s="69" t="s">
        <v>207</v>
      </c>
      <c r="C36" s="71" t="s">
        <v>723</v>
      </c>
      <c r="D36" s="72"/>
      <c r="E36" s="71"/>
      <c r="F36" s="71"/>
      <c r="G36" s="71"/>
      <c r="I36" s="565">
        <v>58114353</v>
      </c>
      <c r="J36" s="35"/>
      <c r="K36" s="71"/>
      <c r="M36" s="195"/>
    </row>
    <row r="37" spans="1:13" ht="15">
      <c r="A37" s="69">
        <f>+A36+1</f>
        <v>2</v>
      </c>
      <c r="B37" s="69" t="s">
        <v>209</v>
      </c>
      <c r="C37" s="71" t="s">
        <v>724</v>
      </c>
      <c r="D37" s="72"/>
      <c r="E37" s="71"/>
      <c r="F37" s="71"/>
      <c r="G37" s="71"/>
      <c r="I37" s="611">
        <f>66223992-4541508</f>
        <v>61682484</v>
      </c>
      <c r="J37" s="439"/>
      <c r="K37" s="71"/>
      <c r="M37" s="70"/>
    </row>
    <row r="38" spans="1:13" ht="15">
      <c r="A38" s="69">
        <f t="shared" ref="A38:A40" si="0">+A37+1</f>
        <v>3</v>
      </c>
      <c r="B38" s="69" t="s">
        <v>211</v>
      </c>
      <c r="C38" s="71" t="s">
        <v>725</v>
      </c>
      <c r="D38" s="72"/>
      <c r="E38" s="71"/>
      <c r="F38" s="71"/>
      <c r="G38" s="71"/>
      <c r="I38" s="91">
        <f>I36-I37</f>
        <v>-3568131</v>
      </c>
      <c r="J38" s="91">
        <f>+I38</f>
        <v>-3568131</v>
      </c>
      <c r="K38" s="71"/>
    </row>
    <row r="39" spans="1:13" ht="15">
      <c r="A39" s="69">
        <f t="shared" si="0"/>
        <v>4</v>
      </c>
      <c r="B39" s="69" t="s">
        <v>213</v>
      </c>
      <c r="C39" s="71" t="s">
        <v>726</v>
      </c>
      <c r="D39" s="72"/>
      <c r="E39" s="71"/>
      <c r="F39" s="71"/>
      <c r="G39" s="71"/>
      <c r="I39" s="612">
        <f>(1+E74)^24</f>
        <v>1.1490060878886428</v>
      </c>
      <c r="J39" s="612">
        <f>(1+F74)^24</f>
        <v>1.0790481262683878</v>
      </c>
      <c r="K39" s="71"/>
    </row>
    <row r="40" spans="1:13" ht="15">
      <c r="A40" s="69">
        <f t="shared" si="0"/>
        <v>5</v>
      </c>
      <c r="B40" s="69" t="s">
        <v>215</v>
      </c>
      <c r="C40" s="71" t="s">
        <v>727</v>
      </c>
      <c r="D40" s="72"/>
      <c r="E40" s="71"/>
      <c r="F40" s="71"/>
      <c r="G40" s="71"/>
      <c r="I40" s="91">
        <f>+I38*I39</f>
        <v>-4099804.241384191</v>
      </c>
      <c r="J40" s="91">
        <f>+J38*J39</f>
        <v>-3850185.0698301485</v>
      </c>
      <c r="K40" s="91">
        <f>+J40-I40</f>
        <v>249619.17155404249</v>
      </c>
    </row>
    <row r="41" spans="1:13" ht="15">
      <c r="A41" s="69">
        <f>+A40+1</f>
        <v>6</v>
      </c>
      <c r="B41" s="69" t="s">
        <v>217</v>
      </c>
      <c r="C41" s="71" t="s">
        <v>728</v>
      </c>
      <c r="D41" s="72"/>
      <c r="E41" s="71"/>
      <c r="F41" s="71"/>
      <c r="G41" s="71"/>
      <c r="H41" s="91"/>
      <c r="I41" s="91">
        <f>+I40+K40</f>
        <v>-3850185.0698301485</v>
      </c>
      <c r="J41" s="71"/>
      <c r="K41" s="71"/>
    </row>
    <row r="42" spans="1:13" ht="15">
      <c r="A42" s="69"/>
      <c r="C42" s="71"/>
      <c r="D42" s="72"/>
      <c r="E42" s="71"/>
      <c r="F42" s="71"/>
      <c r="G42" s="71"/>
      <c r="H42" s="71"/>
      <c r="J42" s="71"/>
      <c r="K42" s="71"/>
    </row>
    <row r="43" spans="1:13" ht="15">
      <c r="A43" s="69"/>
      <c r="C43" s="71" t="s">
        <v>729</v>
      </c>
      <c r="D43" s="71"/>
      <c r="E43" s="71"/>
      <c r="F43" s="71"/>
      <c r="G43" s="71"/>
      <c r="H43" s="20"/>
    </row>
    <row r="44" spans="1:13" ht="15">
      <c r="A44" s="69"/>
      <c r="C44" s="71" t="s">
        <v>730</v>
      </c>
      <c r="D44" s="71"/>
      <c r="E44" s="71"/>
      <c r="F44" s="71"/>
      <c r="G44" s="71"/>
      <c r="H44" s="193"/>
      <c r="I44" s="150"/>
      <c r="J44" s="321"/>
    </row>
    <row r="45" spans="1:13" ht="15">
      <c r="A45" s="69"/>
      <c r="C45" s="71"/>
      <c r="D45" s="71"/>
      <c r="E45" s="71"/>
      <c r="F45" s="71"/>
      <c r="G45" s="71"/>
      <c r="H45" s="147"/>
      <c r="I45" s="191"/>
      <c r="J45" s="191"/>
      <c r="K45" s="191"/>
    </row>
    <row r="46" spans="1:13" ht="15">
      <c r="A46" s="69"/>
      <c r="B46" s="90" t="s">
        <v>731</v>
      </c>
      <c r="C46" s="71"/>
      <c r="D46" s="71"/>
      <c r="E46" s="72" t="s">
        <v>719</v>
      </c>
      <c r="F46" s="72" t="s">
        <v>732</v>
      </c>
      <c r="G46" s="71"/>
      <c r="H46" s="147"/>
      <c r="I46" s="191"/>
      <c r="J46" s="191"/>
      <c r="K46" s="191"/>
    </row>
    <row r="47" spans="1:13" ht="20.25">
      <c r="A47" s="69"/>
      <c r="B47" s="192"/>
      <c r="C47" s="72"/>
      <c r="D47" s="71"/>
      <c r="E47" s="72" t="s">
        <v>733</v>
      </c>
      <c r="F47" s="72" t="s">
        <v>733</v>
      </c>
      <c r="H47" s="47"/>
      <c r="I47" s="147"/>
      <c r="J47" s="20"/>
      <c r="K47" s="322"/>
    </row>
    <row r="48" spans="1:13" ht="17.25">
      <c r="A48" s="69"/>
      <c r="B48" s="538" t="s">
        <v>416</v>
      </c>
      <c r="C48" s="384" t="s">
        <v>355</v>
      </c>
      <c r="D48" s="71"/>
      <c r="E48" s="384" t="s">
        <v>721</v>
      </c>
      <c r="F48" s="384" t="s">
        <v>721</v>
      </c>
      <c r="H48" s="152"/>
      <c r="I48" s="321"/>
      <c r="J48" s="324"/>
      <c r="K48" s="322"/>
    </row>
    <row r="49" spans="1:11" ht="15">
      <c r="A49" s="69">
        <f>+A41+1</f>
        <v>7</v>
      </c>
      <c r="B49" s="90" t="s">
        <v>376</v>
      </c>
      <c r="C49" s="72" t="s">
        <v>734</v>
      </c>
      <c r="D49" s="71"/>
      <c r="E49" s="325">
        <v>3.0999999999999999E-3</v>
      </c>
      <c r="F49" s="325">
        <f>+E49</f>
        <v>3.0999999999999999E-3</v>
      </c>
      <c r="G49" s="90"/>
      <c r="H49" s="92"/>
      <c r="I49" s="340"/>
      <c r="J49" s="341"/>
      <c r="K49" s="322"/>
    </row>
    <row r="50" spans="1:11" ht="15">
      <c r="A50" s="69">
        <f>+A49+1</f>
        <v>8</v>
      </c>
      <c r="B50" s="90" t="s">
        <v>377</v>
      </c>
      <c r="C50" s="72" t="s">
        <v>734</v>
      </c>
      <c r="D50" s="71"/>
      <c r="E50" s="325">
        <v>3.0999999999999999E-3</v>
      </c>
      <c r="F50" s="325">
        <f t="shared" ref="F50:F63" si="1">+E50</f>
        <v>3.0999999999999999E-3</v>
      </c>
      <c r="G50" s="323"/>
      <c r="H50" s="72"/>
      <c r="I50" s="71"/>
      <c r="J50" s="92"/>
      <c r="K50" s="322"/>
    </row>
    <row r="51" spans="1:11" ht="15">
      <c r="A51" s="69">
        <f t="shared" ref="A51:A72" si="2">+A50+1</f>
        <v>9</v>
      </c>
      <c r="B51" s="90" t="s">
        <v>378</v>
      </c>
      <c r="C51" s="72" t="s">
        <v>734</v>
      </c>
      <c r="D51" s="71"/>
      <c r="E51" s="325">
        <v>3.0000000000000001E-3</v>
      </c>
      <c r="F51" s="325">
        <f t="shared" si="1"/>
        <v>3.0000000000000001E-3</v>
      </c>
      <c r="G51" s="71"/>
      <c r="H51" s="72"/>
      <c r="I51" s="71"/>
      <c r="J51" s="72"/>
      <c r="K51" s="322"/>
    </row>
    <row r="52" spans="1:11" ht="15">
      <c r="A52" s="69">
        <f t="shared" si="2"/>
        <v>10</v>
      </c>
      <c r="B52" s="90" t="s">
        <v>379</v>
      </c>
      <c r="C52" s="72" t="s">
        <v>734</v>
      </c>
      <c r="D52" s="71"/>
      <c r="E52" s="325">
        <v>4.1999999999999997E-3</v>
      </c>
      <c r="F52" s="325">
        <f t="shared" si="1"/>
        <v>4.1999999999999997E-3</v>
      </c>
      <c r="G52" s="71"/>
      <c r="H52" s="72"/>
      <c r="I52" s="71"/>
      <c r="J52" s="72"/>
      <c r="K52" s="322"/>
    </row>
    <row r="53" spans="1:11" ht="15">
      <c r="A53" s="69">
        <f t="shared" si="2"/>
        <v>11</v>
      </c>
      <c r="B53" s="90" t="s">
        <v>380</v>
      </c>
      <c r="C53" s="72" t="s">
        <v>734</v>
      </c>
      <c r="D53" s="71"/>
      <c r="E53" s="325">
        <v>4.0000000000000001E-3</v>
      </c>
      <c r="F53" s="325">
        <f t="shared" si="1"/>
        <v>4.0000000000000001E-3</v>
      </c>
      <c r="G53" s="71"/>
      <c r="H53" s="92"/>
      <c r="I53" s="71"/>
      <c r="J53" s="72"/>
      <c r="K53" s="322"/>
    </row>
    <row r="54" spans="1:11" ht="15">
      <c r="A54" s="69">
        <f t="shared" si="2"/>
        <v>12</v>
      </c>
      <c r="B54" s="90" t="s">
        <v>381</v>
      </c>
      <c r="C54" s="72" t="s">
        <v>734</v>
      </c>
      <c r="D54" s="71"/>
      <c r="E54" s="325">
        <v>4.1999999999999997E-3</v>
      </c>
      <c r="F54" s="325">
        <f t="shared" si="1"/>
        <v>4.1999999999999997E-3</v>
      </c>
      <c r="G54" s="71"/>
      <c r="H54" s="72"/>
      <c r="I54" s="71"/>
      <c r="J54" s="72"/>
      <c r="K54" s="322"/>
    </row>
    <row r="55" spans="1:11" ht="15">
      <c r="A55" s="69">
        <f t="shared" si="2"/>
        <v>13</v>
      </c>
      <c r="B55" s="90" t="s">
        <v>370</v>
      </c>
      <c r="C55" s="72" t="s">
        <v>735</v>
      </c>
      <c r="D55" s="71"/>
      <c r="E55" s="325">
        <v>5.4000000000000003E-3</v>
      </c>
      <c r="F55" s="325">
        <f t="shared" si="1"/>
        <v>5.4000000000000003E-3</v>
      </c>
      <c r="G55" s="71"/>
      <c r="H55" s="72"/>
      <c r="I55" s="71"/>
      <c r="J55" s="72"/>
      <c r="K55" s="322"/>
    </row>
    <row r="56" spans="1:11" ht="15">
      <c r="A56" s="69">
        <f t="shared" si="2"/>
        <v>14</v>
      </c>
      <c r="B56" s="90" t="s">
        <v>371</v>
      </c>
      <c r="C56" s="72" t="s">
        <v>735</v>
      </c>
      <c r="D56" s="71"/>
      <c r="E56" s="325">
        <v>4.7999999999999996E-3</v>
      </c>
      <c r="F56" s="325">
        <f t="shared" si="1"/>
        <v>4.7999999999999996E-3</v>
      </c>
      <c r="G56" s="71"/>
      <c r="H56" s="72"/>
      <c r="I56" s="71"/>
      <c r="J56" s="72"/>
      <c r="K56" s="322"/>
    </row>
    <row r="57" spans="1:11" ht="15">
      <c r="A57" s="69">
        <f t="shared" si="2"/>
        <v>15</v>
      </c>
      <c r="B57" s="90" t="s">
        <v>372</v>
      </c>
      <c r="C57" s="72" t="s">
        <v>735</v>
      </c>
      <c r="D57" s="71"/>
      <c r="E57" s="325">
        <v>5.4000000000000003E-3</v>
      </c>
      <c r="F57" s="325">
        <f t="shared" si="1"/>
        <v>5.4000000000000003E-3</v>
      </c>
      <c r="G57" s="71"/>
      <c r="H57" s="72"/>
      <c r="I57" s="71"/>
      <c r="J57" s="72"/>
      <c r="K57" s="322"/>
    </row>
    <row r="58" spans="1:11" ht="15">
      <c r="A58" s="69">
        <f t="shared" si="2"/>
        <v>16</v>
      </c>
      <c r="B58" s="90" t="s">
        <v>373</v>
      </c>
      <c r="C58" s="72" t="s">
        <v>735</v>
      </c>
      <c r="D58" s="71"/>
      <c r="E58" s="325">
        <v>6.1999999999999998E-3</v>
      </c>
      <c r="F58" s="325">
        <f t="shared" si="1"/>
        <v>6.1999999999999998E-3</v>
      </c>
      <c r="G58" s="71"/>
      <c r="H58" s="72"/>
      <c r="I58" s="71"/>
      <c r="J58" s="72"/>
      <c r="K58" s="322"/>
    </row>
    <row r="59" spans="1:11" ht="15">
      <c r="A59" s="69">
        <f t="shared" si="2"/>
        <v>17</v>
      </c>
      <c r="B59" s="90" t="s">
        <v>374</v>
      </c>
      <c r="C59" s="72" t="s">
        <v>735</v>
      </c>
      <c r="D59" s="71"/>
      <c r="E59" s="325">
        <v>6.4000000000000003E-3</v>
      </c>
      <c r="F59" s="325">
        <f t="shared" si="1"/>
        <v>6.4000000000000003E-3</v>
      </c>
      <c r="G59" s="71"/>
      <c r="H59" s="72"/>
      <c r="I59" s="71"/>
      <c r="J59" s="72"/>
      <c r="K59" s="322"/>
    </row>
    <row r="60" spans="1:11" ht="15">
      <c r="A60" s="69">
        <f t="shared" si="2"/>
        <v>18</v>
      </c>
      <c r="B60" s="90" t="s">
        <v>375</v>
      </c>
      <c r="C60" s="72" t="s">
        <v>735</v>
      </c>
      <c r="D60" s="71"/>
      <c r="E60" s="325">
        <v>6.1999999999999998E-3</v>
      </c>
      <c r="F60" s="325">
        <f t="shared" si="1"/>
        <v>6.1999999999999998E-3</v>
      </c>
      <c r="G60" s="71"/>
      <c r="H60" s="72"/>
      <c r="I60" s="71"/>
      <c r="J60" s="72"/>
      <c r="K60" s="322"/>
    </row>
    <row r="61" spans="1:11" ht="15">
      <c r="A61" s="69">
        <f t="shared" si="2"/>
        <v>19</v>
      </c>
      <c r="B61" s="90" t="s">
        <v>376</v>
      </c>
      <c r="C61" s="72" t="s">
        <v>735</v>
      </c>
      <c r="D61" s="71"/>
      <c r="E61" s="325">
        <v>6.7999999999999996E-3</v>
      </c>
      <c r="F61" s="325">
        <f t="shared" si="1"/>
        <v>6.7999999999999996E-3</v>
      </c>
      <c r="G61" s="71"/>
      <c r="H61" s="72"/>
      <c r="I61" s="71"/>
      <c r="J61" s="72"/>
      <c r="K61" s="322"/>
    </row>
    <row r="62" spans="1:11" ht="15">
      <c r="A62" s="69">
        <f t="shared" si="2"/>
        <v>20</v>
      </c>
      <c r="B62" s="90" t="s">
        <v>377</v>
      </c>
      <c r="C62" s="72" t="s">
        <v>735</v>
      </c>
      <c r="D62" s="71"/>
      <c r="E62" s="325">
        <v>6.7999999999999996E-3</v>
      </c>
      <c r="F62" s="325">
        <f t="shared" si="1"/>
        <v>6.7999999999999996E-3</v>
      </c>
      <c r="G62" s="71"/>
      <c r="H62" s="72"/>
      <c r="I62" s="71"/>
      <c r="J62" s="72"/>
      <c r="K62" s="322"/>
    </row>
    <row r="63" spans="1:11" ht="15">
      <c r="A63" s="69">
        <f t="shared" si="2"/>
        <v>21</v>
      </c>
      <c r="B63" s="90" t="s">
        <v>378</v>
      </c>
      <c r="C63" s="72" t="s">
        <v>735</v>
      </c>
      <c r="D63" s="71"/>
      <c r="E63" s="325">
        <v>6.6E-3</v>
      </c>
      <c r="F63" s="325">
        <f t="shared" si="1"/>
        <v>6.6E-3</v>
      </c>
      <c r="G63" s="71"/>
      <c r="H63" s="72"/>
      <c r="I63" s="71"/>
      <c r="J63" s="72"/>
      <c r="K63" s="322"/>
    </row>
    <row r="64" spans="1:11" ht="15">
      <c r="A64" s="69">
        <f t="shared" si="2"/>
        <v>22</v>
      </c>
      <c r="B64" s="90" t="s">
        <v>379</v>
      </c>
      <c r="C64" s="72" t="s">
        <v>735</v>
      </c>
      <c r="D64" s="71"/>
      <c r="E64" s="325">
        <v>7.1000000000000004E-3</v>
      </c>
      <c r="F64" s="325">
        <v>0</v>
      </c>
      <c r="G64" s="71"/>
      <c r="H64" s="72"/>
      <c r="I64" s="71"/>
      <c r="J64" s="72"/>
      <c r="K64" s="322"/>
    </row>
    <row r="65" spans="1:11" ht="15">
      <c r="A65" s="69">
        <f t="shared" si="2"/>
        <v>23</v>
      </c>
      <c r="B65" s="90" t="s">
        <v>380</v>
      </c>
      <c r="C65" s="72" t="s">
        <v>735</v>
      </c>
      <c r="D65" s="71"/>
      <c r="E65" s="325">
        <v>6.8999999999999999E-3</v>
      </c>
      <c r="F65" s="325">
        <v>0</v>
      </c>
      <c r="G65" s="71"/>
      <c r="H65" s="72"/>
      <c r="I65" s="71"/>
      <c r="J65" s="72"/>
      <c r="K65" s="322"/>
    </row>
    <row r="66" spans="1:11" ht="15">
      <c r="A66" s="69">
        <f t="shared" si="2"/>
        <v>24</v>
      </c>
      <c r="B66" s="90" t="s">
        <v>381</v>
      </c>
      <c r="C66" s="72" t="s">
        <v>735</v>
      </c>
      <c r="D66" s="71"/>
      <c r="E66" s="325">
        <f>+E64</f>
        <v>7.1000000000000004E-3</v>
      </c>
      <c r="F66" s="325">
        <v>0</v>
      </c>
      <c r="G66" s="71"/>
      <c r="H66" s="72"/>
      <c r="I66" s="71"/>
      <c r="J66" s="72"/>
      <c r="K66" s="322"/>
    </row>
    <row r="67" spans="1:11" ht="15">
      <c r="A67" s="69">
        <f t="shared" si="2"/>
        <v>25</v>
      </c>
      <c r="B67" s="90" t="s">
        <v>370</v>
      </c>
      <c r="C67" s="72" t="s">
        <v>736</v>
      </c>
      <c r="D67" s="71"/>
      <c r="E67" s="325">
        <f>+E66</f>
        <v>7.1000000000000004E-3</v>
      </c>
      <c r="F67" s="325">
        <v>0</v>
      </c>
      <c r="G67" s="71"/>
      <c r="H67" s="72"/>
      <c r="I67" s="71"/>
      <c r="J67" s="72"/>
      <c r="K67" s="322"/>
    </row>
    <row r="68" spans="1:11" ht="15">
      <c r="A68" s="69">
        <f t="shared" si="2"/>
        <v>26</v>
      </c>
      <c r="B68" s="90" t="s">
        <v>371</v>
      </c>
      <c r="C68" s="72" t="s">
        <v>736</v>
      </c>
      <c r="D68" s="71"/>
      <c r="E68" s="325">
        <f>+E65</f>
        <v>6.8999999999999999E-3</v>
      </c>
      <c r="F68" s="325">
        <v>0</v>
      </c>
      <c r="G68" s="71"/>
      <c r="H68" s="72"/>
      <c r="I68" s="71"/>
      <c r="J68" s="72"/>
    </row>
    <row r="69" spans="1:11" ht="15">
      <c r="A69" s="69">
        <f t="shared" si="2"/>
        <v>27</v>
      </c>
      <c r="B69" s="90" t="s">
        <v>372</v>
      </c>
      <c r="C69" s="72" t="s">
        <v>736</v>
      </c>
      <c r="D69" s="71"/>
      <c r="E69" s="325">
        <f>+E67</f>
        <v>7.1000000000000004E-3</v>
      </c>
      <c r="F69" s="325">
        <v>0</v>
      </c>
      <c r="G69" s="71"/>
      <c r="H69" s="72"/>
      <c r="I69" s="71"/>
      <c r="J69" s="72"/>
    </row>
    <row r="70" spans="1:11" ht="15">
      <c r="A70" s="69">
        <f t="shared" si="2"/>
        <v>28</v>
      </c>
      <c r="B70" s="90" t="s">
        <v>373</v>
      </c>
      <c r="C70" s="72" t="s">
        <v>736</v>
      </c>
      <c r="D70" s="71"/>
      <c r="E70" s="325">
        <f>+E65</f>
        <v>6.8999999999999999E-3</v>
      </c>
      <c r="F70" s="325">
        <v>0</v>
      </c>
      <c r="G70" s="71"/>
      <c r="H70" s="72"/>
      <c r="I70" s="71"/>
      <c r="J70" s="72"/>
    </row>
    <row r="71" spans="1:11" ht="15">
      <c r="A71" s="69">
        <f t="shared" si="2"/>
        <v>29</v>
      </c>
      <c r="B71" s="90" t="s">
        <v>374</v>
      </c>
      <c r="C71" s="72" t="s">
        <v>736</v>
      </c>
      <c r="D71" s="71"/>
      <c r="E71" s="325">
        <f>+E69</f>
        <v>7.1000000000000004E-3</v>
      </c>
      <c r="F71" s="325">
        <v>0</v>
      </c>
      <c r="G71" s="71"/>
      <c r="H71" s="72"/>
      <c r="I71" s="71"/>
      <c r="J71" s="72"/>
    </row>
    <row r="72" spans="1:11" ht="15">
      <c r="A72" s="69">
        <f t="shared" si="2"/>
        <v>30</v>
      </c>
      <c r="B72" s="90" t="s">
        <v>375</v>
      </c>
      <c r="C72" s="72" t="s">
        <v>736</v>
      </c>
      <c r="D72" s="71"/>
      <c r="E72" s="325">
        <f>+E70</f>
        <v>6.8999999999999999E-3</v>
      </c>
      <c r="F72" s="325">
        <v>0</v>
      </c>
      <c r="G72" s="71"/>
      <c r="H72" s="71"/>
      <c r="I72" s="71"/>
      <c r="J72" s="326"/>
    </row>
    <row r="73" spans="1:11">
      <c r="A73" s="69"/>
      <c r="B73" s="539"/>
    </row>
    <row r="74" spans="1:11" ht="15">
      <c r="A74" s="69">
        <f>+A72+1</f>
        <v>31</v>
      </c>
      <c r="B74" s="90" t="s">
        <v>507</v>
      </c>
      <c r="E74" s="383">
        <f>+SUM(E49:E72)/24</f>
        <v>5.8041666666666649E-3</v>
      </c>
      <c r="F74" s="383">
        <f>+SUM(F49:F72)/24</f>
        <v>3.1749999999999994E-3</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23" zoomScale="75" zoomScaleNormal="75" workbookViewId="0">
      <selection activeCell="I36" sqref="I36"/>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93" t="str">
        <f>+'Appendix A'!A3</f>
        <v>Dayton Power and Light</v>
      </c>
      <c r="C2" s="893"/>
      <c r="D2" s="893"/>
      <c r="E2" s="893"/>
      <c r="F2" s="893"/>
      <c r="G2" s="893"/>
      <c r="H2" s="893"/>
      <c r="I2" s="893"/>
      <c r="J2" s="893"/>
      <c r="K2" s="893"/>
      <c r="L2" s="893"/>
    </row>
    <row r="3" spans="2:13" ht="18">
      <c r="B3" s="893" t="str">
        <f>+'Appendix A'!A4</f>
        <v xml:space="preserve">ATTACHMENT H-15A </v>
      </c>
      <c r="C3" s="893"/>
      <c r="D3" s="893"/>
      <c r="E3" s="893"/>
      <c r="F3" s="893"/>
      <c r="G3" s="893"/>
      <c r="H3" s="893"/>
      <c r="I3" s="893"/>
      <c r="J3" s="893"/>
      <c r="K3" s="627"/>
      <c r="L3" s="178"/>
    </row>
    <row r="4" spans="2:13" ht="18">
      <c r="B4" s="893" t="s">
        <v>1016</v>
      </c>
      <c r="C4" s="893"/>
      <c r="D4" s="893"/>
      <c r="E4" s="893"/>
      <c r="F4" s="893"/>
      <c r="G4" s="893"/>
      <c r="H4" s="893"/>
      <c r="I4" s="893"/>
      <c r="J4" s="893"/>
      <c r="K4" s="893"/>
      <c r="L4" s="893"/>
    </row>
    <row r="5" spans="2:13" ht="15.75">
      <c r="B5" s="79"/>
      <c r="C5" s="79"/>
      <c r="D5" s="79"/>
      <c r="E5" s="79"/>
      <c r="F5" s="79"/>
      <c r="G5" s="79"/>
      <c r="H5" s="79"/>
      <c r="I5" s="79"/>
      <c r="J5" s="79"/>
      <c r="K5" s="79"/>
      <c r="L5" s="79"/>
    </row>
    <row r="6" spans="2:13" ht="15">
      <c r="B6" s="45" t="s">
        <v>411</v>
      </c>
      <c r="C6" s="71"/>
      <c r="D6" s="71"/>
      <c r="E6" s="71"/>
      <c r="F6" s="71"/>
      <c r="G6" s="71"/>
      <c r="H6" s="71"/>
      <c r="I6" s="71"/>
      <c r="J6" s="71"/>
      <c r="K6" s="71"/>
      <c r="L6" s="71"/>
      <c r="M6" s="71"/>
    </row>
    <row r="7" spans="2:13" ht="15">
      <c r="B7" s="90" t="s">
        <v>737</v>
      </c>
      <c r="C7" s="71"/>
      <c r="E7" s="71"/>
      <c r="F7" s="71"/>
      <c r="G7" s="71"/>
      <c r="H7" s="71"/>
      <c r="I7" s="71"/>
      <c r="J7" s="71"/>
      <c r="K7" s="71"/>
      <c r="L7" s="71"/>
      <c r="M7" s="71"/>
    </row>
    <row r="8" spans="2:13" ht="15">
      <c r="B8" s="72"/>
      <c r="C8" s="71"/>
      <c r="E8" s="71"/>
      <c r="F8" s="71"/>
      <c r="G8" s="71"/>
      <c r="H8" s="71"/>
      <c r="I8" s="71"/>
      <c r="J8" s="71"/>
      <c r="K8" s="71"/>
      <c r="L8" s="71"/>
    </row>
    <row r="9" spans="2:13" ht="15">
      <c r="B9" s="72" t="s">
        <v>344</v>
      </c>
      <c r="C9" s="71" t="s">
        <v>696</v>
      </c>
      <c r="E9" s="71"/>
      <c r="F9" s="71"/>
      <c r="G9" s="71"/>
      <c r="H9" s="71"/>
      <c r="I9" s="71"/>
      <c r="J9" s="71"/>
      <c r="K9" s="71"/>
      <c r="L9" s="71"/>
    </row>
    <row r="10" spans="2:13" ht="15">
      <c r="B10" s="72"/>
      <c r="C10" s="71" t="s">
        <v>697</v>
      </c>
      <c r="E10" s="71"/>
      <c r="F10" s="71"/>
      <c r="G10" s="71"/>
      <c r="H10" s="71"/>
      <c r="I10" s="71"/>
      <c r="J10" s="71"/>
      <c r="K10" s="71"/>
      <c r="L10" s="71"/>
    </row>
    <row r="11" spans="2:13" ht="15">
      <c r="B11" s="72"/>
      <c r="C11" s="71" t="s">
        <v>698</v>
      </c>
      <c r="E11" s="71"/>
      <c r="F11" s="71"/>
      <c r="G11" s="71"/>
      <c r="H11" s="316"/>
      <c r="J11" s="71"/>
      <c r="K11" s="71"/>
      <c r="L11" s="71"/>
    </row>
    <row r="12" spans="2:13" ht="15">
      <c r="B12" s="72"/>
      <c r="E12" s="71"/>
      <c r="F12" s="71"/>
      <c r="G12" s="71"/>
      <c r="H12" s="316"/>
      <c r="J12" s="71"/>
      <c r="K12" s="71"/>
      <c r="L12" s="71"/>
    </row>
    <row r="13" spans="2:13" ht="15">
      <c r="B13" s="72" t="s">
        <v>699</v>
      </c>
      <c r="C13" s="71" t="s">
        <v>700</v>
      </c>
      <c r="E13" s="71"/>
      <c r="F13" s="71"/>
      <c r="G13" s="71"/>
      <c r="H13" s="316"/>
      <c r="J13" s="71"/>
      <c r="K13" s="71"/>
      <c r="L13" s="71"/>
    </row>
    <row r="14" spans="2:13" ht="15">
      <c r="B14" s="72"/>
      <c r="C14" s="71" t="s">
        <v>701</v>
      </c>
      <c r="E14" s="71"/>
      <c r="F14" s="71"/>
      <c r="G14" s="71"/>
      <c r="H14" s="71"/>
      <c r="I14" s="71"/>
      <c r="J14" s="71"/>
      <c r="K14" s="71"/>
      <c r="L14" s="71"/>
    </row>
    <row r="15" spans="2:13" ht="15">
      <c r="B15" s="72"/>
      <c r="C15" s="71"/>
      <c r="E15" s="71"/>
      <c r="F15" s="71"/>
      <c r="G15" s="71"/>
      <c r="H15" s="71"/>
      <c r="I15" s="71"/>
      <c r="J15" s="71"/>
      <c r="K15" s="71"/>
      <c r="L15" s="71"/>
    </row>
    <row r="16" spans="2:13" ht="15">
      <c r="B16" s="72" t="s">
        <v>702</v>
      </c>
      <c r="C16" s="71" t="s">
        <v>703</v>
      </c>
      <c r="E16" s="71"/>
      <c r="F16" s="71"/>
      <c r="G16" s="71"/>
      <c r="H16" s="71"/>
      <c r="I16" s="71"/>
      <c r="J16" s="71"/>
      <c r="K16" s="71"/>
      <c r="L16" s="71"/>
    </row>
    <row r="17" spans="2:13" ht="15">
      <c r="B17" s="72"/>
      <c r="C17" s="71" t="s">
        <v>704</v>
      </c>
      <c r="E17" s="71"/>
      <c r="F17" s="71"/>
      <c r="G17" s="71"/>
      <c r="H17" s="71"/>
      <c r="I17" s="71"/>
      <c r="J17" s="71"/>
      <c r="K17" s="71"/>
      <c r="L17" s="71"/>
    </row>
    <row r="18" spans="2:13" ht="15">
      <c r="G18" s="71"/>
      <c r="H18" s="71"/>
      <c r="I18" s="71"/>
      <c r="J18" s="71"/>
      <c r="K18" s="71"/>
      <c r="L18" s="71"/>
    </row>
    <row r="19" spans="2:13" ht="15">
      <c r="B19" s="72" t="s">
        <v>705</v>
      </c>
      <c r="C19" s="71" t="s">
        <v>706</v>
      </c>
      <c r="D19" s="71"/>
      <c r="F19" s="71"/>
      <c r="G19" s="71"/>
      <c r="H19" s="71"/>
      <c r="I19" s="71"/>
      <c r="J19" s="71"/>
      <c r="L19" s="71"/>
    </row>
    <row r="20" spans="2:13" ht="15">
      <c r="D20" s="71"/>
      <c r="F20" s="71"/>
      <c r="G20" s="71"/>
      <c r="H20" s="71"/>
      <c r="I20" s="71"/>
      <c r="J20" s="71"/>
      <c r="K20" s="317"/>
      <c r="L20" s="71"/>
    </row>
    <row r="21" spans="2:13" ht="15">
      <c r="C21" s="71" t="s">
        <v>707</v>
      </c>
      <c r="D21" s="72" t="s">
        <v>708</v>
      </c>
      <c r="E21" s="71" t="s">
        <v>709</v>
      </c>
      <c r="F21" s="71"/>
      <c r="G21" s="71"/>
      <c r="H21" s="71"/>
      <c r="I21" s="71"/>
      <c r="J21" s="71"/>
      <c r="K21" s="71"/>
      <c r="L21" s="71"/>
    </row>
    <row r="22" spans="2:13" ht="15">
      <c r="E22" s="71" t="s">
        <v>710</v>
      </c>
      <c r="F22" s="71"/>
      <c r="G22" s="71"/>
      <c r="H22" s="71"/>
      <c r="I22" s="71"/>
      <c r="J22" s="71"/>
      <c r="K22" s="71"/>
      <c r="L22" s="71"/>
    </row>
    <row r="23" spans="2:13" ht="15">
      <c r="E23" s="71" t="s">
        <v>711</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712</v>
      </c>
      <c r="F26" s="71"/>
      <c r="G26" s="71"/>
      <c r="H26" s="71"/>
      <c r="I26" s="71"/>
    </row>
    <row r="27" spans="2:13" ht="16.5">
      <c r="B27" s="320"/>
      <c r="C27" s="71" t="s">
        <v>713</v>
      </c>
      <c r="F27" s="71"/>
      <c r="G27" s="71"/>
      <c r="I27" s="71"/>
    </row>
    <row r="28" spans="2:13" ht="15">
      <c r="B28" s="72"/>
      <c r="C28" s="71" t="s">
        <v>714</v>
      </c>
      <c r="F28" s="71"/>
      <c r="G28" s="71"/>
    </row>
    <row r="29" spans="2:13" ht="15">
      <c r="B29" s="72"/>
      <c r="C29" s="71" t="s">
        <v>715</v>
      </c>
      <c r="F29" s="71"/>
      <c r="G29" s="71"/>
      <c r="M29" s="70"/>
    </row>
    <row r="30" spans="2:13" ht="15">
      <c r="B30" s="72"/>
      <c r="C30" s="71" t="s">
        <v>716</v>
      </c>
    </row>
    <row r="31" spans="2:13" ht="15">
      <c r="B31" s="72"/>
      <c r="C31" s="71" t="s">
        <v>717</v>
      </c>
      <c r="H31" s="71"/>
    </row>
    <row r="32" spans="2:13" ht="15">
      <c r="B32" s="72"/>
    </row>
    <row r="33" spans="1:13" ht="15">
      <c r="H33" s="71"/>
      <c r="I33" s="71"/>
      <c r="J33" s="71"/>
      <c r="K33" s="71"/>
    </row>
    <row r="34" spans="1:13" ht="15">
      <c r="C34" s="71"/>
      <c r="D34" s="72"/>
      <c r="E34" s="71"/>
      <c r="F34" s="71"/>
      <c r="G34" s="71"/>
      <c r="I34" s="72" t="s">
        <v>719</v>
      </c>
      <c r="J34" s="72" t="s">
        <v>720</v>
      </c>
    </row>
    <row r="35" spans="1:13" ht="15">
      <c r="A35" s="540" t="s">
        <v>738</v>
      </c>
      <c r="C35" s="71"/>
      <c r="D35" s="72"/>
      <c r="E35" s="71"/>
      <c r="F35" s="71"/>
      <c r="G35" s="71"/>
      <c r="I35" s="384" t="s">
        <v>721</v>
      </c>
      <c r="J35" s="384" t="s">
        <v>721</v>
      </c>
      <c r="K35" s="440" t="s">
        <v>722</v>
      </c>
    </row>
    <row r="36" spans="1:13" ht="15">
      <c r="A36" s="192">
        <v>1</v>
      </c>
      <c r="B36" s="69" t="s">
        <v>207</v>
      </c>
      <c r="C36" s="71" t="s">
        <v>739</v>
      </c>
      <c r="D36" s="72"/>
      <c r="E36" s="71"/>
      <c r="F36" s="71"/>
      <c r="G36" s="71"/>
      <c r="I36" s="565">
        <v>3363723</v>
      </c>
      <c r="J36" s="35"/>
      <c r="K36" s="71"/>
      <c r="M36" s="195"/>
    </row>
    <row r="37" spans="1:13" ht="15">
      <c r="A37" s="192">
        <f>+A36+1</f>
        <v>2</v>
      </c>
      <c r="B37" s="69" t="s">
        <v>209</v>
      </c>
      <c r="C37" s="71" t="s">
        <v>740</v>
      </c>
      <c r="D37" s="72"/>
      <c r="E37" s="71"/>
      <c r="F37" s="71"/>
      <c r="G37" s="71"/>
      <c r="I37" s="611">
        <v>4541508</v>
      </c>
      <c r="J37" s="439"/>
      <c r="K37" s="71"/>
      <c r="M37" s="70"/>
    </row>
    <row r="38" spans="1:13" ht="15">
      <c r="A38" s="192">
        <f t="shared" ref="A38:A40" si="0">+A37+1</f>
        <v>3</v>
      </c>
      <c r="B38" s="69" t="s">
        <v>211</v>
      </c>
      <c r="C38" s="71" t="s">
        <v>725</v>
      </c>
      <c r="D38" s="72"/>
      <c r="E38" s="71"/>
      <c r="F38" s="71"/>
      <c r="G38" s="71"/>
      <c r="I38" s="91">
        <f>I36-I37</f>
        <v>-1177785</v>
      </c>
      <c r="J38" s="91">
        <f>+I38</f>
        <v>-1177785</v>
      </c>
      <c r="K38" s="71"/>
    </row>
    <row r="39" spans="1:13" ht="15">
      <c r="A39" s="192">
        <f t="shared" si="0"/>
        <v>4</v>
      </c>
      <c r="B39" s="69" t="s">
        <v>213</v>
      </c>
      <c r="C39" s="71" t="s">
        <v>726</v>
      </c>
      <c r="D39" s="72"/>
      <c r="E39" s="71"/>
      <c r="F39" s="71"/>
      <c r="G39" s="71"/>
      <c r="I39" s="612">
        <f>(1+E74)^24</f>
        <v>1.1490060878886428</v>
      </c>
      <c r="J39" s="612">
        <f>(1+F74)^24</f>
        <v>1.0790481262683878</v>
      </c>
      <c r="K39" s="71"/>
    </row>
    <row r="40" spans="1:13" ht="15">
      <c r="A40" s="192">
        <f t="shared" si="0"/>
        <v>5</v>
      </c>
      <c r="B40" s="69" t="s">
        <v>215</v>
      </c>
      <c r="C40" s="71" t="s">
        <v>727</v>
      </c>
      <c r="D40" s="72"/>
      <c r="E40" s="71"/>
      <c r="F40" s="71"/>
      <c r="G40" s="71"/>
      <c r="I40" s="91">
        <f>+I38*I39</f>
        <v>-1353282.1352239251</v>
      </c>
      <c r="J40" s="91">
        <f>+J38*J39</f>
        <v>-1270886.697397013</v>
      </c>
      <c r="K40" s="91">
        <f>+J40-I40</f>
        <v>82395.437826912152</v>
      </c>
    </row>
    <row r="41" spans="1:13" ht="15">
      <c r="A41" s="192">
        <f>+A40+1</f>
        <v>6</v>
      </c>
      <c r="B41" s="69" t="s">
        <v>217</v>
      </c>
      <c r="C41" s="71" t="s">
        <v>728</v>
      </c>
      <c r="D41" s="72"/>
      <c r="E41" s="71"/>
      <c r="F41" s="71"/>
      <c r="G41" s="71"/>
      <c r="H41" s="91"/>
      <c r="I41" s="91">
        <f>+I40+K40</f>
        <v>-1270886.697397013</v>
      </c>
      <c r="J41" s="71"/>
      <c r="K41" s="71"/>
    </row>
    <row r="42" spans="1:13" ht="15">
      <c r="C42" s="71"/>
      <c r="D42" s="72"/>
      <c r="E42" s="71"/>
      <c r="F42" s="71"/>
      <c r="G42" s="71"/>
      <c r="H42" s="71"/>
      <c r="J42" s="71"/>
      <c r="K42" s="71"/>
    </row>
    <row r="43" spans="1:13" ht="15">
      <c r="C43" s="71" t="s">
        <v>729</v>
      </c>
      <c r="D43" s="71"/>
      <c r="E43" s="71"/>
      <c r="F43" s="71"/>
      <c r="G43" s="71"/>
      <c r="H43" s="20"/>
    </row>
    <row r="44" spans="1:13" ht="15">
      <c r="C44" s="71" t="s">
        <v>730</v>
      </c>
      <c r="D44" s="71"/>
      <c r="E44" s="71"/>
      <c r="F44" s="71"/>
      <c r="G44" s="71"/>
      <c r="H44" s="193"/>
      <c r="I44" s="150"/>
      <c r="J44" s="321"/>
    </row>
    <row r="45" spans="1:13" ht="15">
      <c r="C45" s="71"/>
      <c r="D45" s="71"/>
      <c r="E45" s="71"/>
      <c r="F45" s="71"/>
      <c r="G45" s="71"/>
      <c r="H45" s="147"/>
      <c r="I45" s="191"/>
      <c r="J45" s="191"/>
      <c r="K45" s="191"/>
    </row>
    <row r="46" spans="1:13" ht="15">
      <c r="B46" s="90" t="s">
        <v>731</v>
      </c>
      <c r="C46" s="71"/>
      <c r="D46" s="71"/>
      <c r="E46" s="72" t="s">
        <v>719</v>
      </c>
      <c r="F46" s="72" t="s">
        <v>732</v>
      </c>
      <c r="G46" s="71"/>
      <c r="H46" s="147"/>
      <c r="I46" s="191"/>
      <c r="J46" s="191"/>
      <c r="K46" s="191"/>
    </row>
    <row r="47" spans="1:13" ht="20.25">
      <c r="B47" s="192"/>
      <c r="C47" s="72"/>
      <c r="D47" s="71"/>
      <c r="E47" s="72" t="s">
        <v>733</v>
      </c>
      <c r="F47" s="72" t="s">
        <v>733</v>
      </c>
      <c r="H47" s="47"/>
      <c r="I47" s="147"/>
      <c r="J47" s="20"/>
      <c r="K47" s="322"/>
    </row>
    <row r="48" spans="1:13" ht="17.25">
      <c r="B48" s="538" t="s">
        <v>416</v>
      </c>
      <c r="C48" s="384" t="s">
        <v>355</v>
      </c>
      <c r="D48" s="71"/>
      <c r="E48" s="384" t="s">
        <v>721</v>
      </c>
      <c r="F48" s="384" t="s">
        <v>721</v>
      </c>
      <c r="H48" s="152"/>
      <c r="I48" s="321"/>
      <c r="J48" s="324"/>
      <c r="K48" s="322"/>
    </row>
    <row r="49" spans="1:11" ht="15">
      <c r="A49" s="192">
        <f>+A41+1</f>
        <v>7</v>
      </c>
      <c r="B49" s="90" t="s">
        <v>376</v>
      </c>
      <c r="C49" s="72" t="s">
        <v>734</v>
      </c>
      <c r="D49" s="71"/>
      <c r="E49" s="325">
        <v>3.0999999999999999E-3</v>
      </c>
      <c r="F49" s="325">
        <f>+E49</f>
        <v>3.0999999999999999E-3</v>
      </c>
      <c r="G49" s="90"/>
      <c r="H49" s="92"/>
      <c r="I49" s="340"/>
      <c r="J49" s="341"/>
      <c r="K49" s="322"/>
    </row>
    <row r="50" spans="1:11" ht="15">
      <c r="A50" s="192">
        <f>+A49+1</f>
        <v>8</v>
      </c>
      <c r="B50" s="90" t="s">
        <v>377</v>
      </c>
      <c r="C50" s="72" t="s">
        <v>734</v>
      </c>
      <c r="D50" s="71"/>
      <c r="E50" s="325">
        <v>3.0999999999999999E-3</v>
      </c>
      <c r="F50" s="325">
        <f t="shared" ref="F50:F63" si="1">+E50</f>
        <v>3.0999999999999999E-3</v>
      </c>
      <c r="G50" s="323"/>
      <c r="H50" s="72"/>
      <c r="I50" s="71"/>
      <c r="J50" s="92"/>
      <c r="K50" s="322"/>
    </row>
    <row r="51" spans="1:11" ht="15">
      <c r="A51" s="192">
        <f t="shared" ref="A51:A72" si="2">+A50+1</f>
        <v>9</v>
      </c>
      <c r="B51" s="90" t="s">
        <v>378</v>
      </c>
      <c r="C51" s="72" t="s">
        <v>734</v>
      </c>
      <c r="D51" s="71"/>
      <c r="E51" s="325">
        <v>3.0000000000000001E-3</v>
      </c>
      <c r="F51" s="325">
        <f t="shared" si="1"/>
        <v>3.0000000000000001E-3</v>
      </c>
      <c r="G51" s="71"/>
      <c r="H51" s="72"/>
      <c r="I51" s="71"/>
      <c r="J51" s="72"/>
      <c r="K51" s="322"/>
    </row>
    <row r="52" spans="1:11" ht="15">
      <c r="A52" s="192">
        <f t="shared" si="2"/>
        <v>10</v>
      </c>
      <c r="B52" s="90" t="s">
        <v>379</v>
      </c>
      <c r="C52" s="72" t="s">
        <v>734</v>
      </c>
      <c r="D52" s="71"/>
      <c r="E52" s="325">
        <v>4.1999999999999997E-3</v>
      </c>
      <c r="F52" s="325">
        <f t="shared" si="1"/>
        <v>4.1999999999999997E-3</v>
      </c>
      <c r="G52" s="71"/>
      <c r="H52" s="72"/>
      <c r="I52" s="71"/>
      <c r="J52" s="72"/>
      <c r="K52" s="322"/>
    </row>
    <row r="53" spans="1:11" ht="15">
      <c r="A53" s="192">
        <f t="shared" si="2"/>
        <v>11</v>
      </c>
      <c r="B53" s="90" t="s">
        <v>380</v>
      </c>
      <c r="C53" s="72" t="s">
        <v>734</v>
      </c>
      <c r="D53" s="71"/>
      <c r="E53" s="325">
        <v>4.0000000000000001E-3</v>
      </c>
      <c r="F53" s="325">
        <f t="shared" si="1"/>
        <v>4.0000000000000001E-3</v>
      </c>
      <c r="G53" s="71"/>
      <c r="H53" s="92"/>
      <c r="I53" s="71"/>
      <c r="J53" s="72"/>
      <c r="K53" s="322"/>
    </row>
    <row r="54" spans="1:11" ht="15">
      <c r="A54" s="192">
        <f t="shared" si="2"/>
        <v>12</v>
      </c>
      <c r="B54" s="90" t="s">
        <v>381</v>
      </c>
      <c r="C54" s="72" t="s">
        <v>734</v>
      </c>
      <c r="D54" s="71"/>
      <c r="E54" s="325">
        <v>4.1999999999999997E-3</v>
      </c>
      <c r="F54" s="325">
        <f t="shared" si="1"/>
        <v>4.1999999999999997E-3</v>
      </c>
      <c r="G54" s="71"/>
      <c r="H54" s="72"/>
      <c r="I54" s="71"/>
      <c r="J54" s="72"/>
      <c r="K54" s="322"/>
    </row>
    <row r="55" spans="1:11" ht="15">
      <c r="A55" s="192">
        <f t="shared" si="2"/>
        <v>13</v>
      </c>
      <c r="B55" s="90" t="s">
        <v>370</v>
      </c>
      <c r="C55" s="72" t="s">
        <v>735</v>
      </c>
      <c r="D55" s="71"/>
      <c r="E55" s="325">
        <v>5.4000000000000003E-3</v>
      </c>
      <c r="F55" s="325">
        <f t="shared" si="1"/>
        <v>5.4000000000000003E-3</v>
      </c>
      <c r="G55" s="71"/>
      <c r="H55" s="72"/>
      <c r="I55" s="71"/>
      <c r="J55" s="72"/>
      <c r="K55" s="322"/>
    </row>
    <row r="56" spans="1:11" ht="15">
      <c r="A56" s="192">
        <f t="shared" si="2"/>
        <v>14</v>
      </c>
      <c r="B56" s="90" t="s">
        <v>371</v>
      </c>
      <c r="C56" s="72" t="s">
        <v>735</v>
      </c>
      <c r="D56" s="71"/>
      <c r="E56" s="325">
        <v>4.7999999999999996E-3</v>
      </c>
      <c r="F56" s="325">
        <f t="shared" si="1"/>
        <v>4.7999999999999996E-3</v>
      </c>
      <c r="G56" s="71"/>
      <c r="H56" s="72"/>
      <c r="I56" s="71"/>
      <c r="J56" s="72"/>
      <c r="K56" s="322"/>
    </row>
    <row r="57" spans="1:11" ht="15">
      <c r="A57" s="192">
        <f t="shared" si="2"/>
        <v>15</v>
      </c>
      <c r="B57" s="90" t="s">
        <v>372</v>
      </c>
      <c r="C57" s="72" t="s">
        <v>735</v>
      </c>
      <c r="D57" s="71"/>
      <c r="E57" s="325">
        <v>5.4000000000000003E-3</v>
      </c>
      <c r="F57" s="325">
        <f t="shared" si="1"/>
        <v>5.4000000000000003E-3</v>
      </c>
      <c r="G57" s="71"/>
      <c r="H57" s="72"/>
      <c r="I57" s="71"/>
      <c r="J57" s="72"/>
      <c r="K57" s="322"/>
    </row>
    <row r="58" spans="1:11" ht="15">
      <c r="A58" s="192">
        <f t="shared" si="2"/>
        <v>16</v>
      </c>
      <c r="B58" s="90" t="s">
        <v>373</v>
      </c>
      <c r="C58" s="72" t="s">
        <v>735</v>
      </c>
      <c r="D58" s="71"/>
      <c r="E58" s="325">
        <v>6.1999999999999998E-3</v>
      </c>
      <c r="F58" s="325">
        <f t="shared" si="1"/>
        <v>6.1999999999999998E-3</v>
      </c>
      <c r="G58" s="71"/>
      <c r="H58" s="72"/>
      <c r="I58" s="71"/>
      <c r="J58" s="72"/>
      <c r="K58" s="322"/>
    </row>
    <row r="59" spans="1:11" ht="15">
      <c r="A59" s="192">
        <f t="shared" si="2"/>
        <v>17</v>
      </c>
      <c r="B59" s="90" t="s">
        <v>374</v>
      </c>
      <c r="C59" s="72" t="s">
        <v>735</v>
      </c>
      <c r="D59" s="71"/>
      <c r="E59" s="325">
        <v>6.4000000000000003E-3</v>
      </c>
      <c r="F59" s="325">
        <f t="shared" si="1"/>
        <v>6.4000000000000003E-3</v>
      </c>
      <c r="G59" s="71"/>
      <c r="H59" s="72"/>
      <c r="I59" s="71"/>
      <c r="J59" s="72"/>
      <c r="K59" s="322"/>
    </row>
    <row r="60" spans="1:11" ht="15">
      <c r="A60" s="192">
        <f t="shared" si="2"/>
        <v>18</v>
      </c>
      <c r="B60" s="90" t="s">
        <v>375</v>
      </c>
      <c r="C60" s="72" t="s">
        <v>735</v>
      </c>
      <c r="D60" s="71"/>
      <c r="E60" s="325">
        <v>6.1999999999999998E-3</v>
      </c>
      <c r="F60" s="325">
        <f t="shared" si="1"/>
        <v>6.1999999999999998E-3</v>
      </c>
      <c r="G60" s="71"/>
      <c r="H60" s="72"/>
      <c r="I60" s="71"/>
      <c r="J60" s="72"/>
      <c r="K60" s="322"/>
    </row>
    <row r="61" spans="1:11" ht="15">
      <c r="A61" s="192">
        <f t="shared" si="2"/>
        <v>19</v>
      </c>
      <c r="B61" s="90" t="s">
        <v>376</v>
      </c>
      <c r="C61" s="72" t="s">
        <v>735</v>
      </c>
      <c r="D61" s="71"/>
      <c r="E61" s="325">
        <v>6.7999999999999996E-3</v>
      </c>
      <c r="F61" s="325">
        <f t="shared" si="1"/>
        <v>6.7999999999999996E-3</v>
      </c>
      <c r="G61" s="71"/>
      <c r="H61" s="72"/>
      <c r="I61" s="71"/>
      <c r="J61" s="72"/>
      <c r="K61" s="322"/>
    </row>
    <row r="62" spans="1:11" ht="15">
      <c r="A62" s="192">
        <f t="shared" si="2"/>
        <v>20</v>
      </c>
      <c r="B62" s="90" t="s">
        <v>377</v>
      </c>
      <c r="C62" s="72" t="s">
        <v>735</v>
      </c>
      <c r="D62" s="71"/>
      <c r="E62" s="325">
        <v>6.7999999999999996E-3</v>
      </c>
      <c r="F62" s="325">
        <f t="shared" si="1"/>
        <v>6.7999999999999996E-3</v>
      </c>
      <c r="G62" s="71"/>
      <c r="H62" s="72"/>
      <c r="I62" s="71"/>
      <c r="J62" s="72"/>
      <c r="K62" s="322"/>
    </row>
    <row r="63" spans="1:11" ht="15">
      <c r="A63" s="192">
        <f t="shared" si="2"/>
        <v>21</v>
      </c>
      <c r="B63" s="90" t="s">
        <v>378</v>
      </c>
      <c r="C63" s="72" t="s">
        <v>735</v>
      </c>
      <c r="D63" s="71"/>
      <c r="E63" s="325">
        <v>6.6E-3</v>
      </c>
      <c r="F63" s="325">
        <f t="shared" si="1"/>
        <v>6.6E-3</v>
      </c>
      <c r="G63" s="71"/>
      <c r="H63" s="72"/>
      <c r="I63" s="71"/>
      <c r="J63" s="72"/>
      <c r="K63" s="322"/>
    </row>
    <row r="64" spans="1:11" ht="15">
      <c r="A64" s="192">
        <f t="shared" si="2"/>
        <v>22</v>
      </c>
      <c r="B64" s="90" t="s">
        <v>379</v>
      </c>
      <c r="C64" s="72" t="s">
        <v>735</v>
      </c>
      <c r="D64" s="71"/>
      <c r="E64" s="325">
        <v>7.1000000000000004E-3</v>
      </c>
      <c r="F64" s="325">
        <v>0</v>
      </c>
      <c r="G64" s="71"/>
      <c r="H64" s="72"/>
      <c r="I64" s="71"/>
      <c r="J64" s="72"/>
      <c r="K64" s="322"/>
    </row>
    <row r="65" spans="1:11" ht="15">
      <c r="A65" s="192">
        <f t="shared" si="2"/>
        <v>23</v>
      </c>
      <c r="B65" s="90" t="s">
        <v>380</v>
      </c>
      <c r="C65" s="72" t="s">
        <v>735</v>
      </c>
      <c r="D65" s="71"/>
      <c r="E65" s="325">
        <v>6.8999999999999999E-3</v>
      </c>
      <c r="F65" s="325">
        <v>0</v>
      </c>
      <c r="G65" s="71"/>
      <c r="H65" s="72"/>
      <c r="I65" s="71"/>
      <c r="J65" s="72"/>
      <c r="K65" s="322"/>
    </row>
    <row r="66" spans="1:11" ht="15">
      <c r="A66" s="192">
        <f t="shared" si="2"/>
        <v>24</v>
      </c>
      <c r="B66" s="90" t="s">
        <v>381</v>
      </c>
      <c r="C66" s="72" t="s">
        <v>735</v>
      </c>
      <c r="D66" s="71"/>
      <c r="E66" s="325">
        <f>+E64</f>
        <v>7.1000000000000004E-3</v>
      </c>
      <c r="F66" s="325">
        <v>0</v>
      </c>
      <c r="G66" s="71"/>
      <c r="H66" s="72"/>
      <c r="I66" s="71"/>
      <c r="J66" s="72"/>
      <c r="K66" s="322"/>
    </row>
    <row r="67" spans="1:11" ht="15">
      <c r="A67" s="192">
        <f t="shared" si="2"/>
        <v>25</v>
      </c>
      <c r="B67" s="90" t="s">
        <v>370</v>
      </c>
      <c r="C67" s="72" t="s">
        <v>736</v>
      </c>
      <c r="D67" s="71"/>
      <c r="E67" s="325">
        <f>+E66</f>
        <v>7.1000000000000004E-3</v>
      </c>
      <c r="F67" s="325">
        <v>0</v>
      </c>
      <c r="G67" s="71"/>
      <c r="H67" s="72"/>
      <c r="I67" s="71"/>
      <c r="J67" s="72"/>
      <c r="K67" s="322"/>
    </row>
    <row r="68" spans="1:11" ht="15">
      <c r="A68" s="192">
        <f t="shared" si="2"/>
        <v>26</v>
      </c>
      <c r="B68" s="90" t="s">
        <v>371</v>
      </c>
      <c r="C68" s="72" t="s">
        <v>736</v>
      </c>
      <c r="D68" s="71"/>
      <c r="E68" s="325">
        <f>+E65</f>
        <v>6.8999999999999999E-3</v>
      </c>
      <c r="F68" s="325">
        <v>0</v>
      </c>
      <c r="G68" s="71"/>
      <c r="H68" s="72"/>
      <c r="I68" s="71"/>
      <c r="J68" s="72"/>
    </row>
    <row r="69" spans="1:11" ht="15">
      <c r="A69" s="192">
        <f t="shared" si="2"/>
        <v>27</v>
      </c>
      <c r="B69" s="90" t="s">
        <v>372</v>
      </c>
      <c r="C69" s="72" t="s">
        <v>736</v>
      </c>
      <c r="D69" s="71"/>
      <c r="E69" s="325">
        <f>+E67</f>
        <v>7.1000000000000004E-3</v>
      </c>
      <c r="F69" s="325">
        <v>0</v>
      </c>
      <c r="G69" s="71"/>
      <c r="H69" s="72"/>
      <c r="I69" s="71"/>
      <c r="J69" s="72"/>
    </row>
    <row r="70" spans="1:11" ht="15">
      <c r="A70" s="192">
        <f t="shared" si="2"/>
        <v>28</v>
      </c>
      <c r="B70" s="90" t="s">
        <v>373</v>
      </c>
      <c r="C70" s="72" t="s">
        <v>736</v>
      </c>
      <c r="D70" s="71"/>
      <c r="E70" s="325">
        <f>+E65</f>
        <v>6.8999999999999999E-3</v>
      </c>
      <c r="F70" s="325">
        <v>0</v>
      </c>
      <c r="G70" s="71"/>
      <c r="H70" s="72"/>
      <c r="I70" s="71"/>
      <c r="J70" s="72"/>
    </row>
    <row r="71" spans="1:11" ht="15">
      <c r="A71" s="192">
        <f t="shared" si="2"/>
        <v>29</v>
      </c>
      <c r="B71" s="90" t="s">
        <v>374</v>
      </c>
      <c r="C71" s="72" t="s">
        <v>736</v>
      </c>
      <c r="D71" s="71"/>
      <c r="E71" s="325">
        <f>+E69</f>
        <v>7.1000000000000004E-3</v>
      </c>
      <c r="F71" s="325">
        <v>0</v>
      </c>
      <c r="G71" s="71"/>
      <c r="H71" s="72"/>
      <c r="I71" s="71"/>
      <c r="J71" s="72"/>
    </row>
    <row r="72" spans="1:11" ht="15">
      <c r="A72" s="192">
        <f t="shared" si="2"/>
        <v>30</v>
      </c>
      <c r="B72" s="90" t="s">
        <v>375</v>
      </c>
      <c r="C72" s="72" t="s">
        <v>736</v>
      </c>
      <c r="D72" s="71"/>
      <c r="E72" s="325">
        <f>+E70</f>
        <v>6.8999999999999999E-3</v>
      </c>
      <c r="F72" s="325">
        <v>0</v>
      </c>
      <c r="G72" s="71"/>
      <c r="H72" s="71"/>
      <c r="I72" s="71"/>
      <c r="J72" s="326"/>
    </row>
    <row r="73" spans="1:11">
      <c r="B73" s="539"/>
    </row>
    <row r="74" spans="1:11" ht="15">
      <c r="A74" s="192">
        <f>+A72+1</f>
        <v>31</v>
      </c>
      <c r="B74" s="90" t="s">
        <v>507</v>
      </c>
      <c r="E74" s="383">
        <f>+SUM(E49:E72)/24</f>
        <v>5.8041666666666649E-3</v>
      </c>
      <c r="F74" s="383">
        <f>+SUM(F49:F72)/24</f>
        <v>3.1749999999999994E-3</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J3" sqref="J3"/>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1017</v>
      </c>
      <c r="K3" s="178"/>
      <c r="L3" s="178"/>
      <c r="M3" s="178"/>
      <c r="N3" s="178"/>
      <c r="O3" s="180"/>
      <c r="P3" s="180"/>
      <c r="Y3" s="627"/>
    </row>
    <row r="4" spans="1:28" ht="18">
      <c r="A4" s="69"/>
      <c r="B4" s="45" t="s">
        <v>411</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7" t="s">
        <v>741</v>
      </c>
      <c r="C6" s="192"/>
      <c r="D6" s="69"/>
      <c r="E6" s="192"/>
      <c r="F6" s="354"/>
      <c r="G6" s="192"/>
      <c r="H6" s="192"/>
      <c r="I6" s="192"/>
      <c r="J6" s="500"/>
      <c r="K6" s="501"/>
      <c r="L6" s="192"/>
      <c r="M6" s="192"/>
      <c r="N6" s="180"/>
      <c r="O6" s="180"/>
      <c r="P6" s="180"/>
      <c r="Q6" s="354"/>
      <c r="R6" s="354"/>
      <c r="S6" s="354"/>
      <c r="T6" s="354"/>
      <c r="U6" s="354"/>
      <c r="V6" s="354"/>
      <c r="W6" s="354"/>
      <c r="X6" s="354"/>
      <c r="Y6" s="354"/>
      <c r="Z6" s="354"/>
      <c r="AA6" s="354"/>
      <c r="AB6" s="354"/>
    </row>
    <row r="7" spans="1:28">
      <c r="A7" s="354"/>
      <c r="B7" s="354"/>
      <c r="C7" s="354"/>
      <c r="D7" s="354"/>
      <c r="E7" s="354"/>
      <c r="F7" s="354"/>
      <c r="G7" s="769" t="s">
        <v>742</v>
      </c>
      <c r="H7" s="354"/>
      <c r="I7" s="769" t="s">
        <v>743</v>
      </c>
      <c r="J7" s="354"/>
      <c r="K7" s="769" t="s">
        <v>744</v>
      </c>
      <c r="L7" s="354"/>
      <c r="M7" s="769" t="s">
        <v>745</v>
      </c>
      <c r="N7" s="354"/>
      <c r="O7" s="769" t="s">
        <v>746</v>
      </c>
      <c r="P7" s="354"/>
      <c r="Q7" s="769" t="s">
        <v>747</v>
      </c>
      <c r="R7" s="354"/>
      <c r="S7" s="769" t="s">
        <v>748</v>
      </c>
      <c r="T7" s="354"/>
      <c r="U7" s="769" t="s">
        <v>749</v>
      </c>
      <c r="V7" s="354"/>
      <c r="W7" s="769" t="s">
        <v>750</v>
      </c>
      <c r="X7" s="354"/>
      <c r="Y7" s="769" t="s">
        <v>751</v>
      </c>
      <c r="Z7" s="354"/>
      <c r="AA7" s="354"/>
      <c r="AB7" s="354"/>
    </row>
    <row r="8" spans="1:28">
      <c r="A8" s="455" t="s">
        <v>738</v>
      </c>
      <c r="B8" s="354"/>
      <c r="C8" s="354"/>
      <c r="D8" s="354"/>
      <c r="E8" s="493" t="s">
        <v>67</v>
      </c>
      <c r="F8" s="354"/>
      <c r="G8" s="494" t="s">
        <v>752</v>
      </c>
      <c r="H8" s="354"/>
      <c r="I8" s="494" t="s">
        <v>752</v>
      </c>
      <c r="J8" s="354"/>
      <c r="K8" s="494" t="s">
        <v>752</v>
      </c>
      <c r="L8" s="354"/>
      <c r="M8" s="494" t="s">
        <v>752</v>
      </c>
      <c r="N8" s="354"/>
      <c r="O8" s="494" t="s">
        <v>752</v>
      </c>
      <c r="P8" s="354"/>
      <c r="Q8" s="494" t="s">
        <v>752</v>
      </c>
      <c r="R8" s="354"/>
      <c r="S8" s="494" t="s">
        <v>752</v>
      </c>
      <c r="T8" s="354"/>
      <c r="U8" s="494" t="s">
        <v>752</v>
      </c>
      <c r="V8" s="354"/>
      <c r="W8" s="494" t="s">
        <v>752</v>
      </c>
      <c r="X8" s="354"/>
      <c r="Y8" s="494" t="s">
        <v>752</v>
      </c>
      <c r="Z8" s="354"/>
      <c r="AA8" s="354"/>
      <c r="AB8" s="354"/>
    </row>
    <row r="9" spans="1:28">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row>
    <row r="10" spans="1:28">
      <c r="A10" s="354">
        <v>1</v>
      </c>
      <c r="B10" s="354" t="s">
        <v>22</v>
      </c>
      <c r="C10" s="528" t="str">
        <f>"(Attachment 4, Line "&amp;'4 - Cost Support'!A243&amp;" etc.)"</f>
        <v>(Attachment 4, Line 88 etc.)</v>
      </c>
      <c r="D10" s="354"/>
      <c r="E10" s="457"/>
      <c r="F10" s="457"/>
      <c r="G10" s="613">
        <f>+'4 - Cost Support'!T243</f>
        <v>0</v>
      </c>
      <c r="H10" s="613"/>
      <c r="I10" s="613">
        <f>+'4 - Cost Support'!T248</f>
        <v>0</v>
      </c>
      <c r="J10" s="613"/>
      <c r="K10" s="613">
        <f>+'4 - Cost Support'!T253</f>
        <v>0</v>
      </c>
      <c r="L10" s="613"/>
      <c r="M10" s="613">
        <f>+'4 - Cost Support'!T258</f>
        <v>0</v>
      </c>
      <c r="N10" s="613"/>
      <c r="O10" s="613">
        <f>+'4 - Cost Support'!T263</f>
        <v>0</v>
      </c>
      <c r="P10" s="613"/>
      <c r="Q10" s="613">
        <f>+'4 - Cost Support'!T268</f>
        <v>0</v>
      </c>
      <c r="R10" s="613"/>
      <c r="S10" s="613">
        <f>+'4 - Cost Support'!T273</f>
        <v>0</v>
      </c>
      <c r="T10" s="613"/>
      <c r="U10" s="613">
        <f>+'4 - Cost Support'!T278</f>
        <v>0</v>
      </c>
      <c r="V10" s="613"/>
      <c r="W10" s="613">
        <f>+'4 - Cost Support'!T283</f>
        <v>0</v>
      </c>
      <c r="X10" s="613"/>
      <c r="Y10" s="613">
        <f>+'4 - Cost Support'!T288</f>
        <v>0</v>
      </c>
      <c r="Z10" s="354"/>
      <c r="AA10" s="354"/>
      <c r="AB10" s="354"/>
    </row>
    <row r="11" spans="1:28">
      <c r="A11" s="354">
        <f>+A10+1</f>
        <v>2</v>
      </c>
      <c r="B11" s="354" t="s">
        <v>31</v>
      </c>
      <c r="C11" s="528" t="str">
        <f>"(Attachment 4, Line "&amp;'4 - Cost Support'!A244&amp;" etc.)"</f>
        <v>(Attachment 4, Line 89 etc.)</v>
      </c>
      <c r="D11" s="354"/>
      <c r="E11" s="457"/>
      <c r="F11" s="457"/>
      <c r="G11" s="614">
        <f>+'4 - Cost Support'!T244</f>
        <v>0</v>
      </c>
      <c r="H11" s="614"/>
      <c r="I11" s="614">
        <f>+'4 - Cost Support'!T249</f>
        <v>0</v>
      </c>
      <c r="J11" s="614"/>
      <c r="K11" s="614">
        <f>+'4 - Cost Support'!T254</f>
        <v>0</v>
      </c>
      <c r="L11" s="614"/>
      <c r="M11" s="614">
        <f>+'4 - Cost Support'!T259</f>
        <v>0</v>
      </c>
      <c r="N11" s="614"/>
      <c r="O11" s="614">
        <f>+'4 - Cost Support'!T264</f>
        <v>0</v>
      </c>
      <c r="P11" s="614"/>
      <c r="Q11" s="614">
        <f>+'4 - Cost Support'!T269</f>
        <v>0</v>
      </c>
      <c r="R11" s="614"/>
      <c r="S11" s="614">
        <f>+'4 - Cost Support'!T274</f>
        <v>0</v>
      </c>
      <c r="T11" s="614"/>
      <c r="U11" s="614">
        <f>+'4 - Cost Support'!T279</f>
        <v>0</v>
      </c>
      <c r="V11" s="614"/>
      <c r="W11" s="614">
        <f>+'4 - Cost Support'!T284</f>
        <v>0</v>
      </c>
      <c r="X11" s="614"/>
      <c r="Y11" s="614">
        <f>+'4 - Cost Support'!T289</f>
        <v>0</v>
      </c>
      <c r="Z11" s="354"/>
      <c r="AA11" s="354"/>
      <c r="AB11" s="354"/>
    </row>
    <row r="12" spans="1:28">
      <c r="A12" s="354">
        <f>+A11+1</f>
        <v>3</v>
      </c>
      <c r="B12" s="354" t="s">
        <v>16</v>
      </c>
      <c r="C12" s="354" t="str">
        <f>"(Line "&amp;A10&amp;" + Line "&amp;A11&amp;")"</f>
        <v>(Line 1 + Line 2)</v>
      </c>
      <c r="D12" s="354"/>
      <c r="E12" s="457"/>
      <c r="F12" s="457"/>
      <c r="G12" s="613">
        <f>+G10-G11</f>
        <v>0</v>
      </c>
      <c r="H12" s="613"/>
      <c r="I12" s="613">
        <f>+I10-I11</f>
        <v>0</v>
      </c>
      <c r="J12" s="613"/>
      <c r="K12" s="613">
        <f>+K10-K11</f>
        <v>0</v>
      </c>
      <c r="L12" s="613"/>
      <c r="M12" s="613">
        <f>+M10-M11</f>
        <v>0</v>
      </c>
      <c r="N12" s="613"/>
      <c r="O12" s="613">
        <f>+O10-O11</f>
        <v>0</v>
      </c>
      <c r="P12" s="613"/>
      <c r="Q12" s="613">
        <f>+Q10-Q11</f>
        <v>0</v>
      </c>
      <c r="R12" s="613"/>
      <c r="S12" s="613">
        <f>+S10-S11</f>
        <v>0</v>
      </c>
      <c r="T12" s="613"/>
      <c r="U12" s="613">
        <f>+U10-U11</f>
        <v>0</v>
      </c>
      <c r="V12" s="613"/>
      <c r="W12" s="613">
        <f>+W10-W11</f>
        <v>0</v>
      </c>
      <c r="X12" s="613"/>
      <c r="Y12" s="613">
        <f>+Y10-Y11</f>
        <v>0</v>
      </c>
      <c r="Z12" s="354"/>
      <c r="AA12" s="354"/>
      <c r="AB12" s="354"/>
    </row>
    <row r="13" spans="1:28">
      <c r="A13" s="354">
        <f t="shared" ref="A13:A18" si="0">+A12+1</f>
        <v>4</v>
      </c>
      <c r="B13" s="354" t="s">
        <v>41</v>
      </c>
      <c r="C13" s="528" t="str">
        <f>"(Attachment 4, Line "&amp;'4 - Cost Support'!A245&amp;" etc.)"</f>
        <v>(Attachment 4, Line 90 etc.)</v>
      </c>
      <c r="D13" s="354"/>
      <c r="E13" s="457"/>
      <c r="F13" s="457"/>
      <c r="G13" s="614">
        <f>+'4 - Cost Support'!T245</f>
        <v>0</v>
      </c>
      <c r="H13" s="614"/>
      <c r="I13" s="614">
        <f>+'4 - Cost Support'!T250</f>
        <v>0</v>
      </c>
      <c r="J13" s="614"/>
      <c r="K13" s="614">
        <f>+'4 - Cost Support'!T255</f>
        <v>0</v>
      </c>
      <c r="L13" s="614"/>
      <c r="M13" s="614">
        <f>+'4 - Cost Support'!T260</f>
        <v>0</v>
      </c>
      <c r="N13" s="614"/>
      <c r="O13" s="614">
        <f>+'4 - Cost Support'!T265</f>
        <v>0</v>
      </c>
      <c r="P13" s="614"/>
      <c r="Q13" s="614">
        <f>+'4 - Cost Support'!T270</f>
        <v>0</v>
      </c>
      <c r="R13" s="614"/>
      <c r="S13" s="614">
        <f>+'4 - Cost Support'!T275</f>
        <v>0</v>
      </c>
      <c r="T13" s="614"/>
      <c r="U13" s="614">
        <f>+'4 - Cost Support'!T280</f>
        <v>0</v>
      </c>
      <c r="V13" s="614"/>
      <c r="W13" s="614">
        <f>+'4 - Cost Support'!T285</f>
        <v>0</v>
      </c>
      <c r="X13" s="614"/>
      <c r="Y13" s="614">
        <f>+'4 - Cost Support'!T290</f>
        <v>0</v>
      </c>
      <c r="Z13" s="354"/>
      <c r="AA13" s="354"/>
      <c r="AB13" s="354"/>
    </row>
    <row r="14" spans="1:28">
      <c r="A14" s="354">
        <f t="shared" si="0"/>
        <v>5</v>
      </c>
      <c r="B14" s="354" t="s">
        <v>75</v>
      </c>
      <c r="C14" s="354" t="str">
        <f>"(Line "&amp;A12&amp;" + Line "&amp;A13&amp;")"</f>
        <v>(Line 3 + Line 4)</v>
      </c>
      <c r="D14" s="354"/>
      <c r="E14" s="457"/>
      <c r="F14" s="457"/>
      <c r="G14" s="613">
        <f>+G12-G13</f>
        <v>0</v>
      </c>
      <c r="H14" s="613"/>
      <c r="I14" s="613">
        <f>+I12-I13</f>
        <v>0</v>
      </c>
      <c r="J14" s="613"/>
      <c r="K14" s="613">
        <f>+K12-K13</f>
        <v>0</v>
      </c>
      <c r="L14" s="613"/>
      <c r="M14" s="613">
        <f>+M12-M13</f>
        <v>0</v>
      </c>
      <c r="N14" s="613"/>
      <c r="O14" s="613">
        <f>+O12-O13</f>
        <v>0</v>
      </c>
      <c r="P14" s="613"/>
      <c r="Q14" s="613">
        <f>+Q12-Q13</f>
        <v>0</v>
      </c>
      <c r="R14" s="613"/>
      <c r="S14" s="613">
        <f>+S12-S13</f>
        <v>0</v>
      </c>
      <c r="T14" s="613"/>
      <c r="U14" s="613">
        <f>+U12-U13</f>
        <v>0</v>
      </c>
      <c r="V14" s="613"/>
      <c r="W14" s="613">
        <f>+W12-W13</f>
        <v>0</v>
      </c>
      <c r="X14" s="613"/>
      <c r="Y14" s="613">
        <f>+Y12-Y13</f>
        <v>0</v>
      </c>
      <c r="Z14" s="354"/>
      <c r="AA14" s="354"/>
      <c r="AB14" s="354"/>
    </row>
    <row r="15" spans="1:28">
      <c r="A15" s="354">
        <f t="shared" si="0"/>
        <v>6</v>
      </c>
      <c r="B15" s="354" t="s">
        <v>741</v>
      </c>
      <c r="C15" s="354" t="s">
        <v>753</v>
      </c>
      <c r="D15" s="354"/>
      <c r="E15" s="354"/>
      <c r="F15" s="354"/>
      <c r="G15" s="499">
        <v>0</v>
      </c>
      <c r="H15" s="181"/>
      <c r="I15" s="499">
        <v>0</v>
      </c>
      <c r="J15" s="181"/>
      <c r="K15" s="499">
        <v>0</v>
      </c>
      <c r="L15" s="181"/>
      <c r="M15" s="499">
        <v>0</v>
      </c>
      <c r="N15" s="181"/>
      <c r="O15" s="499">
        <v>0</v>
      </c>
      <c r="P15" s="181"/>
      <c r="Q15" s="499">
        <v>0</v>
      </c>
      <c r="R15" s="181"/>
      <c r="S15" s="499">
        <v>0</v>
      </c>
      <c r="T15" s="181"/>
      <c r="U15" s="499">
        <v>0</v>
      </c>
      <c r="V15" s="181"/>
      <c r="W15" s="499">
        <v>0</v>
      </c>
      <c r="X15" s="181"/>
      <c r="Y15" s="499">
        <v>0</v>
      </c>
      <c r="Z15" s="354"/>
      <c r="AA15" s="354"/>
      <c r="AB15" s="354"/>
    </row>
    <row r="16" spans="1:28">
      <c r="A16" s="354">
        <f t="shared" si="0"/>
        <v>7</v>
      </c>
      <c r="B16" s="354" t="s">
        <v>754</v>
      </c>
      <c r="C16" s="528" t="str">
        <f>"(Appendix A, Line "&amp;'Appendix A'!A197&amp;")"</f>
        <v>(Appendix A, Line 111)</v>
      </c>
      <c r="D16" s="354"/>
      <c r="E16" s="354"/>
      <c r="F16" s="354"/>
      <c r="G16" s="510">
        <f>+'Appendix A'!$H$197</f>
        <v>0.53280934240323374</v>
      </c>
      <c r="H16" s="181"/>
      <c r="I16" s="510">
        <f>+'Appendix A'!$H$197</f>
        <v>0.53280934240323374</v>
      </c>
      <c r="J16" s="181"/>
      <c r="K16" s="510">
        <f>+'Appendix A'!$H$197</f>
        <v>0.53280934240323374</v>
      </c>
      <c r="L16" s="181"/>
      <c r="M16" s="510">
        <f>+'Appendix A'!$H$197</f>
        <v>0.53280934240323374</v>
      </c>
      <c r="N16" s="181"/>
      <c r="O16" s="510">
        <f>+'Appendix A'!$H$197</f>
        <v>0.53280934240323374</v>
      </c>
      <c r="P16" s="181"/>
      <c r="Q16" s="510">
        <f>+'Appendix A'!$H$197</f>
        <v>0.53280934240323374</v>
      </c>
      <c r="R16" s="181"/>
      <c r="S16" s="510">
        <f>+'Appendix A'!$H$197</f>
        <v>0.53280934240323374</v>
      </c>
      <c r="T16" s="181"/>
      <c r="U16" s="510">
        <f>+'Appendix A'!$H$197</f>
        <v>0.53280934240323374</v>
      </c>
      <c r="V16" s="181"/>
      <c r="W16" s="510">
        <f>+'Appendix A'!$H$197</f>
        <v>0.53280934240323374</v>
      </c>
      <c r="X16" s="181"/>
      <c r="Y16" s="510">
        <f>+'Appendix A'!$H$197</f>
        <v>0.53280934240323374</v>
      </c>
      <c r="Z16" s="354"/>
      <c r="AA16" s="354"/>
      <c r="AB16" s="354"/>
    </row>
    <row r="17" spans="1:28">
      <c r="A17" s="354">
        <f t="shared" si="0"/>
        <v>8</v>
      </c>
      <c r="B17" s="354" t="s">
        <v>154</v>
      </c>
      <c r="C17" s="528" t="str">
        <f>"(Appendix A, Line "&amp;'Appendix A'!A217&amp;")"</f>
        <v>(Appendix A, Line 126)</v>
      </c>
      <c r="D17" s="354"/>
      <c r="E17" s="456"/>
      <c r="F17" s="456"/>
      <c r="G17" s="511">
        <f>+'Appendix A'!$H$217</f>
        <v>1.2892878231922251</v>
      </c>
      <c r="H17" s="509"/>
      <c r="I17" s="511">
        <f>+'Appendix A'!$H$217</f>
        <v>1.2892878231922251</v>
      </c>
      <c r="J17" s="509"/>
      <c r="K17" s="511">
        <f>+'Appendix A'!$H$217</f>
        <v>1.2892878231922251</v>
      </c>
      <c r="L17" s="509"/>
      <c r="M17" s="511">
        <f>+'Appendix A'!$H$217</f>
        <v>1.2892878231922251</v>
      </c>
      <c r="N17" s="509"/>
      <c r="O17" s="511">
        <f>+'Appendix A'!$H$217</f>
        <v>1.2892878231922251</v>
      </c>
      <c r="P17" s="509"/>
      <c r="Q17" s="511">
        <f>+'Appendix A'!$H$217</f>
        <v>1.2892878231922251</v>
      </c>
      <c r="R17" s="509"/>
      <c r="S17" s="511">
        <f>+'Appendix A'!$H$217</f>
        <v>1.2892878231922251</v>
      </c>
      <c r="T17" s="509"/>
      <c r="U17" s="511">
        <f>+'Appendix A'!$H$217</f>
        <v>1.2892878231922251</v>
      </c>
      <c r="V17" s="509"/>
      <c r="W17" s="511">
        <f>+'Appendix A'!$H$217</f>
        <v>1.2892878231922251</v>
      </c>
      <c r="X17" s="509"/>
      <c r="Y17" s="511">
        <f>+'Appendix A'!$H$217</f>
        <v>1.2892878231922251</v>
      </c>
      <c r="Z17" s="354"/>
      <c r="AA17" s="354"/>
      <c r="AB17" s="354"/>
    </row>
    <row r="18" spans="1:28" ht="25.5">
      <c r="A18" s="354">
        <f t="shared" si="0"/>
        <v>9</v>
      </c>
      <c r="B18" s="354" t="s">
        <v>755</v>
      </c>
      <c r="C18" s="495" t="str">
        <f>"(Line "&amp;A14&amp;" * Line "&amp;A15&amp;" * Line "&amp;A16&amp;" * Line "&amp;A17&amp;" )"</f>
        <v>(Line 5 * Line 6 * Line 7 * Line 8 )</v>
      </c>
      <c r="D18" s="354"/>
      <c r="E18" s="613">
        <f>+SUM(G18:Y18)</f>
        <v>0</v>
      </c>
      <c r="F18" s="613"/>
      <c r="G18" s="615">
        <f>+G14*G15*G16*G17</f>
        <v>0</v>
      </c>
      <c r="H18" s="616"/>
      <c r="I18" s="615">
        <f>+I14*I15*I16*I17</f>
        <v>0</v>
      </c>
      <c r="J18" s="616"/>
      <c r="K18" s="615">
        <f>+K14*K15*K16*K17</f>
        <v>0</v>
      </c>
      <c r="L18" s="616"/>
      <c r="M18" s="615">
        <f>+M14*M15*M16*M17</f>
        <v>0</v>
      </c>
      <c r="N18" s="616"/>
      <c r="O18" s="615">
        <f>+O14*O15*O16*O17</f>
        <v>0</v>
      </c>
      <c r="P18" s="616"/>
      <c r="Q18" s="615">
        <f>+Q14*Q15*Q16*Q17</f>
        <v>0</v>
      </c>
      <c r="R18" s="616"/>
      <c r="S18" s="615">
        <f>+S14*S15*S16*S17</f>
        <v>0</v>
      </c>
      <c r="T18" s="616"/>
      <c r="U18" s="615">
        <f>+U14*U15*U16*U17</f>
        <v>0</v>
      </c>
      <c r="V18" s="616"/>
      <c r="W18" s="615">
        <f>+W14*W15*W16*W17</f>
        <v>0</v>
      </c>
      <c r="X18" s="616"/>
      <c r="Y18" s="615">
        <f>+Y14*Y15*Y16*Y17</f>
        <v>0</v>
      </c>
      <c r="Z18" s="354"/>
      <c r="AA18" s="354"/>
      <c r="AB18" s="354"/>
    </row>
    <row r="19" spans="1:28">
      <c r="A19" s="354"/>
      <c r="B19" s="354"/>
      <c r="C19" s="354"/>
      <c r="D19" s="354"/>
      <c r="E19" s="354"/>
      <c r="F19" s="354"/>
      <c r="G19" s="510"/>
      <c r="H19" s="181"/>
      <c r="I19" s="510"/>
      <c r="J19" s="181"/>
      <c r="K19" s="510"/>
      <c r="L19" s="181"/>
      <c r="M19" s="510"/>
      <c r="N19" s="181"/>
      <c r="O19" s="510"/>
      <c r="P19" s="181"/>
      <c r="Q19" s="510"/>
      <c r="R19" s="181"/>
      <c r="S19" s="510"/>
      <c r="T19" s="181"/>
      <c r="U19" s="510"/>
      <c r="V19" s="181"/>
      <c r="W19" s="510"/>
      <c r="X19" s="181"/>
      <c r="Y19" s="510"/>
      <c r="Z19" s="354"/>
      <c r="AA19" s="354"/>
      <c r="AB19" s="354"/>
    </row>
    <row r="20" spans="1:28" ht="25.5">
      <c r="A20" s="354"/>
      <c r="B20" s="495" t="s">
        <v>756</v>
      </c>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row>
    <row r="21" spans="1:28">
      <c r="A21" s="354"/>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row>
    <row r="22" spans="1:28">
      <c r="A22" s="354"/>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row>
    <row r="23" spans="1:28">
      <c r="A23" s="354"/>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row>
    <row r="24" spans="1:28">
      <c r="A24" s="354"/>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row>
    <row r="25" spans="1:28">
      <c r="A25" s="354"/>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row>
    <row r="26" spans="1:28">
      <c r="A26" s="354"/>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row>
    <row r="27" spans="1:28">
      <c r="A27" s="354"/>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row>
    <row r="28" spans="1:28">
      <c r="A28" s="354"/>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row>
    <row r="29" spans="1:28">
      <c r="A29" s="354"/>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row>
    <row r="30" spans="1:28">
      <c r="A30" s="354"/>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row>
    <row r="31" spans="1:28">
      <c r="A31" s="354"/>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row>
    <row r="32" spans="1:28">
      <c r="A32" s="354"/>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row>
    <row r="33" spans="1:28">
      <c r="A33" s="354"/>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row>
    <row r="34" spans="1:28">
      <c r="A34" s="354"/>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row>
    <row r="35" spans="1:28">
      <c r="A35" s="354"/>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row>
    <row r="36" spans="1:28">
      <c r="A36" s="354"/>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row>
    <row r="37" spans="1:28">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row>
    <row r="38" spans="1:28">
      <c r="A38" s="354"/>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row>
    <row r="39" spans="1:28">
      <c r="A39" s="354"/>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row>
    <row r="40" spans="1:28">
      <c r="A40" s="354"/>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row>
    <row r="41" spans="1:28">
      <c r="A41" s="354"/>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row>
    <row r="42" spans="1:28">
      <c r="A42" s="354"/>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row>
    <row r="43" spans="1:28">
      <c r="A43" s="354"/>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row>
    <row r="44" spans="1:28">
      <c r="A44" s="354"/>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row>
    <row r="45" spans="1:28">
      <c r="A45" s="354"/>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row>
    <row r="46" spans="1:28">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row r="47" spans="1:28">
      <c r="A47" s="354"/>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row>
    <row r="48" spans="1:28">
      <c r="A48" s="354"/>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row>
    <row r="49" spans="1:28">
      <c r="A49" s="354"/>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row>
    <row r="50" spans="1:28">
      <c r="A50" s="354"/>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row>
    <row r="51" spans="1:28">
      <c r="A51" s="354"/>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row>
    <row r="52" spans="1:28">
      <c r="A52" s="354"/>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row>
    <row r="53" spans="1:28">
      <c r="A53" s="354"/>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row>
    <row r="54" spans="1:28">
      <c r="A54" s="354"/>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row>
    <row r="55" spans="1:28">
      <c r="A55" s="354"/>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row>
    <row r="56" spans="1:28">
      <c r="A56" s="354"/>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row>
    <row r="57" spans="1:28">
      <c r="A57" s="354"/>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row>
    <row r="58" spans="1:28">
      <c r="A58" s="354"/>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row>
    <row r="59" spans="1:28">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row>
    <row r="60" spans="1:28">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row>
    <row r="61" spans="1:28">
      <c r="A61" s="354"/>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row>
    <row r="62" spans="1:28">
      <c r="A62" s="354"/>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100"/>
  <sheetViews>
    <sheetView topLeftCell="A14" zoomScaleNormal="100" zoomScaleSheetLayoutView="80" workbookViewId="0">
      <selection activeCell="G26" sqref="G26"/>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7.5703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1018</v>
      </c>
      <c r="Y3" s="627"/>
    </row>
    <row r="5" spans="1:25" ht="15">
      <c r="B5" s="45" t="s">
        <v>411</v>
      </c>
    </row>
    <row r="6" spans="1:25" ht="15.75">
      <c r="A6" s="69"/>
      <c r="B6" s="78" t="s">
        <v>757</v>
      </c>
      <c r="C6" s="192"/>
      <c r="D6" s="69"/>
      <c r="E6" s="192"/>
      <c r="F6" s="354"/>
      <c r="G6" s="192"/>
      <c r="H6" s="192"/>
      <c r="I6" s="192"/>
      <c r="J6" s="500"/>
      <c r="K6" s="501"/>
      <c r="L6" s="192"/>
      <c r="M6" s="192"/>
      <c r="N6" s="180"/>
      <c r="O6" s="180"/>
      <c r="P6" s="180"/>
      <c r="Q6" s="354"/>
      <c r="R6" s="354"/>
      <c r="S6" s="354"/>
      <c r="T6" s="354"/>
      <c r="U6" s="354"/>
      <c r="V6" s="354"/>
      <c r="W6" s="354"/>
      <c r="X6" s="354"/>
      <c r="Y6" s="354"/>
    </row>
    <row r="7" spans="1:25">
      <c r="A7" s="354"/>
      <c r="B7" s="354"/>
      <c r="C7" s="354"/>
      <c r="D7" s="354"/>
      <c r="E7" s="354"/>
      <c r="F7" s="354"/>
      <c r="G7" s="769" t="s">
        <v>742</v>
      </c>
      <c r="H7" s="354"/>
      <c r="I7" s="769" t="s">
        <v>743</v>
      </c>
      <c r="J7" s="354"/>
      <c r="K7" s="769" t="s">
        <v>744</v>
      </c>
      <c r="L7" s="354"/>
      <c r="M7" s="769" t="s">
        <v>745</v>
      </c>
      <c r="N7" s="354"/>
      <c r="O7" s="769" t="s">
        <v>746</v>
      </c>
      <c r="P7" s="354"/>
      <c r="Q7" s="769" t="s">
        <v>747</v>
      </c>
      <c r="R7" s="354"/>
      <c r="S7" s="769" t="s">
        <v>748</v>
      </c>
      <c r="T7" s="354"/>
      <c r="U7" s="769" t="s">
        <v>749</v>
      </c>
      <c r="V7" s="354"/>
      <c r="W7" s="769" t="s">
        <v>750</v>
      </c>
      <c r="X7" s="354"/>
      <c r="Y7" s="769" t="s">
        <v>751</v>
      </c>
    </row>
    <row r="8" spans="1:25" ht="51">
      <c r="A8" s="455" t="s">
        <v>738</v>
      </c>
      <c r="B8" s="354"/>
      <c r="C8" s="354"/>
      <c r="D8" s="354"/>
      <c r="E8" s="493" t="s">
        <v>67</v>
      </c>
      <c r="F8" s="354"/>
      <c r="G8" s="506" t="s">
        <v>758</v>
      </c>
      <c r="H8" s="354"/>
      <c r="I8" s="494" t="s">
        <v>752</v>
      </c>
      <c r="J8" s="354"/>
      <c r="K8" s="494" t="s">
        <v>752</v>
      </c>
      <c r="L8" s="354"/>
      <c r="M8" s="494" t="s">
        <v>752</v>
      </c>
      <c r="N8" s="354"/>
      <c r="O8" s="494" t="s">
        <v>752</v>
      </c>
      <c r="P8" s="354"/>
      <c r="Q8" s="494" t="s">
        <v>752</v>
      </c>
      <c r="R8" s="354"/>
      <c r="S8" s="494" t="s">
        <v>752</v>
      </c>
      <c r="T8" s="354"/>
      <c r="U8" s="494" t="s">
        <v>752</v>
      </c>
      <c r="V8" s="354"/>
      <c r="W8" s="494" t="s">
        <v>752</v>
      </c>
      <c r="X8" s="354"/>
      <c r="Y8" s="494" t="s">
        <v>752</v>
      </c>
    </row>
    <row r="9" spans="1:25">
      <c r="A9" s="354"/>
      <c r="B9" s="354" t="s">
        <v>759</v>
      </c>
      <c r="C9" s="354"/>
      <c r="D9" s="354"/>
      <c r="E9" s="354"/>
      <c r="F9" s="354"/>
      <c r="G9" s="655" t="s">
        <v>760</v>
      </c>
      <c r="H9" s="354"/>
      <c r="I9" s="531"/>
      <c r="J9" s="354"/>
      <c r="K9" s="531"/>
      <c r="L9" s="354"/>
      <c r="M9" s="531"/>
      <c r="N9" s="354"/>
      <c r="O9" s="531"/>
      <c r="P9" s="354"/>
      <c r="Q9" s="531"/>
      <c r="R9" s="354"/>
      <c r="S9" s="531"/>
      <c r="T9" s="354"/>
      <c r="U9" s="531"/>
      <c r="V9" s="354"/>
      <c r="W9" s="531"/>
      <c r="X9" s="354"/>
      <c r="Y9" s="531"/>
    </row>
    <row r="10" spans="1:25">
      <c r="A10" s="354">
        <v>1</v>
      </c>
      <c r="B10" s="354" t="s">
        <v>22</v>
      </c>
      <c r="C10" s="528" t="str">
        <f>"(Attachment 4, Line "&amp;'4 - Cost Support'!A296&amp;" etc.)"</f>
        <v>(Attachment 4, Line 118 etc.)</v>
      </c>
      <c r="D10" s="354"/>
      <c r="E10" s="457"/>
      <c r="F10" s="457"/>
      <c r="G10" s="613">
        <f>+'4 - Cost Support'!T296</f>
        <v>20201422.66</v>
      </c>
      <c r="H10" s="613"/>
      <c r="I10" s="613">
        <f>+'4 - Cost Support'!T301</f>
        <v>0</v>
      </c>
      <c r="J10" s="613"/>
      <c r="K10" s="613">
        <f>+'4 - Cost Support'!T306</f>
        <v>0</v>
      </c>
      <c r="L10" s="613"/>
      <c r="M10" s="613">
        <f>+'4 - Cost Support'!T311</f>
        <v>0</v>
      </c>
      <c r="N10" s="613"/>
      <c r="O10" s="613">
        <f>+'4 - Cost Support'!T316</f>
        <v>0</v>
      </c>
      <c r="P10" s="613"/>
      <c r="Q10" s="613">
        <f>+'4 - Cost Support'!T321</f>
        <v>0</v>
      </c>
      <c r="R10" s="613"/>
      <c r="S10" s="613">
        <f>+'4 - Cost Support'!T326</f>
        <v>0</v>
      </c>
      <c r="T10" s="613"/>
      <c r="U10" s="613">
        <f>+'4 - Cost Support'!T331</f>
        <v>0</v>
      </c>
      <c r="V10" s="613"/>
      <c r="W10" s="613">
        <f>+'4 - Cost Support'!T336</f>
        <v>0</v>
      </c>
      <c r="X10" s="613"/>
      <c r="Y10" s="613">
        <f>+'4 - Cost Support'!T341</f>
        <v>0</v>
      </c>
    </row>
    <row r="11" spans="1:25">
      <c r="A11" s="354">
        <f>+A10+1</f>
        <v>2</v>
      </c>
      <c r="B11" s="456" t="s">
        <v>31</v>
      </c>
      <c r="C11" s="529" t="str">
        <f>"(Attachment 4, Line "&amp;'4 - Cost Support'!A297&amp;" etc.)"</f>
        <v>(Attachment 4, Line 119 etc.)</v>
      </c>
      <c r="D11" s="456"/>
      <c r="E11" s="497"/>
      <c r="F11" s="497"/>
      <c r="G11" s="614">
        <f>+'4 - Cost Support'!T297</f>
        <v>824802.65000000049</v>
      </c>
      <c r="H11" s="614"/>
      <c r="I11" s="614">
        <f>+'4 - Cost Support'!T302</f>
        <v>0</v>
      </c>
      <c r="J11" s="614"/>
      <c r="K11" s="614">
        <f>+'4 - Cost Support'!T307</f>
        <v>0</v>
      </c>
      <c r="L11" s="614"/>
      <c r="M11" s="614">
        <f>+'4 - Cost Support'!T312</f>
        <v>0</v>
      </c>
      <c r="N11" s="614"/>
      <c r="O11" s="614">
        <f>+'4 - Cost Support'!T317</f>
        <v>0</v>
      </c>
      <c r="P11" s="614"/>
      <c r="Q11" s="614">
        <f>+'4 - Cost Support'!T322</f>
        <v>0</v>
      </c>
      <c r="R11" s="614"/>
      <c r="S11" s="614">
        <f>+'4 - Cost Support'!T327</f>
        <v>0</v>
      </c>
      <c r="T11" s="614"/>
      <c r="U11" s="614">
        <f>+'4 - Cost Support'!T332</f>
        <v>0</v>
      </c>
      <c r="V11" s="614"/>
      <c r="W11" s="614">
        <f>+'4 - Cost Support'!T337</f>
        <v>0</v>
      </c>
      <c r="X11" s="614"/>
      <c r="Y11" s="614">
        <f>+'4 - Cost Support'!T342</f>
        <v>0</v>
      </c>
    </row>
    <row r="12" spans="1:25">
      <c r="A12" s="354">
        <f>+A11+1</f>
        <v>3</v>
      </c>
      <c r="B12" s="354" t="s">
        <v>16</v>
      </c>
      <c r="C12" s="354" t="str">
        <f>"(Line "&amp;A10&amp;" + "&amp;A11&amp;")"</f>
        <v>(Line 1 + 2)</v>
      </c>
      <c r="D12" s="354"/>
      <c r="E12" s="457"/>
      <c r="F12" s="457"/>
      <c r="G12" s="613">
        <f>+G10-G11</f>
        <v>19376620.009999998</v>
      </c>
      <c r="H12" s="613"/>
      <c r="I12" s="613">
        <f>+I10-I11</f>
        <v>0</v>
      </c>
      <c r="J12" s="613"/>
      <c r="K12" s="613">
        <f>+K10-K11</f>
        <v>0</v>
      </c>
      <c r="L12" s="613"/>
      <c r="M12" s="613">
        <f>+M10-M11</f>
        <v>0</v>
      </c>
      <c r="N12" s="613"/>
      <c r="O12" s="613">
        <f>+O10-O11</f>
        <v>0</v>
      </c>
      <c r="P12" s="613"/>
      <c r="Q12" s="613">
        <f>+Q10-Q11</f>
        <v>0</v>
      </c>
      <c r="R12" s="613"/>
      <c r="S12" s="613">
        <f>+S10-S11</f>
        <v>0</v>
      </c>
      <c r="T12" s="613"/>
      <c r="U12" s="613">
        <f>+U10-U11</f>
        <v>0</v>
      </c>
      <c r="V12" s="613"/>
      <c r="W12" s="613">
        <f>+W10-W11</f>
        <v>0</v>
      </c>
      <c r="X12" s="613"/>
      <c r="Y12" s="613">
        <f>+Y10-Y11</f>
        <v>0</v>
      </c>
    </row>
    <row r="13" spans="1:2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row>
    <row r="14" spans="1:25" ht="25.5">
      <c r="A14" s="354">
        <f>+A12+1</f>
        <v>4</v>
      </c>
      <c r="B14" s="507" t="s">
        <v>761</v>
      </c>
      <c r="C14" s="529" t="str">
        <f>"(Appendix A, Line "&amp;'Appendix A'!A275&amp;")"</f>
        <v>(Appendix A, Line 163)</v>
      </c>
      <c r="D14" s="456"/>
      <c r="E14" s="456"/>
      <c r="F14" s="456"/>
      <c r="G14" s="544">
        <f>+'Appendix A'!$H$275</f>
        <v>0.16079268860572027</v>
      </c>
      <c r="H14" s="544"/>
      <c r="I14" s="544">
        <f>+'Appendix A'!$H$275</f>
        <v>0.16079268860572027</v>
      </c>
      <c r="J14" s="544"/>
      <c r="K14" s="544">
        <f>+'Appendix A'!$H$275</f>
        <v>0.16079268860572027</v>
      </c>
      <c r="L14" s="544"/>
      <c r="M14" s="544">
        <f>+'Appendix A'!$H$275</f>
        <v>0.16079268860572027</v>
      </c>
      <c r="N14" s="544"/>
      <c r="O14" s="544">
        <f>+'Appendix A'!$H$275</f>
        <v>0.16079268860572027</v>
      </c>
      <c r="P14" s="544"/>
      <c r="Q14" s="544">
        <f>+'Appendix A'!$H$275</f>
        <v>0.16079268860572027</v>
      </c>
      <c r="R14" s="544"/>
      <c r="S14" s="544">
        <f>+'Appendix A'!$H$275</f>
        <v>0.16079268860572027</v>
      </c>
      <c r="T14" s="544"/>
      <c r="U14" s="544">
        <f>+'Appendix A'!$H$275</f>
        <v>0.16079268860572027</v>
      </c>
      <c r="V14" s="544"/>
      <c r="W14" s="544">
        <f>+'Appendix A'!$H$275</f>
        <v>0.16079268860572027</v>
      </c>
      <c r="X14" s="544"/>
      <c r="Y14" s="544">
        <f>+'Appendix A'!$H$275</f>
        <v>0.16079268860572027</v>
      </c>
    </row>
    <row r="15" spans="1:25" ht="25.5">
      <c r="A15" s="354">
        <f>+A14+1</f>
        <v>5</v>
      </c>
      <c r="B15" s="495" t="s">
        <v>762</v>
      </c>
      <c r="C15" s="354" t="str">
        <f>"(Line "&amp;A12&amp;" * Line "&amp;A14&amp;")"</f>
        <v>(Line 3 * Line 4)</v>
      </c>
      <c r="D15" s="354"/>
      <c r="E15" s="613"/>
      <c r="F15" s="613"/>
      <c r="G15" s="613">
        <f>+G12*G14</f>
        <v>3115618.8274992979</v>
      </c>
      <c r="H15" s="613"/>
      <c r="I15" s="613">
        <f>+I12*I14</f>
        <v>0</v>
      </c>
      <c r="J15" s="613"/>
      <c r="K15" s="613">
        <f>+K12*K14</f>
        <v>0</v>
      </c>
      <c r="L15" s="613"/>
      <c r="M15" s="613">
        <f>+M12*M14</f>
        <v>0</v>
      </c>
      <c r="N15" s="613"/>
      <c r="O15" s="613">
        <f>+O12*O14</f>
        <v>0</v>
      </c>
      <c r="P15" s="613"/>
      <c r="Q15" s="613">
        <f>+Q12*Q14</f>
        <v>0</v>
      </c>
      <c r="R15" s="613"/>
      <c r="S15" s="613">
        <f>+S12*S14</f>
        <v>0</v>
      </c>
      <c r="T15" s="613"/>
      <c r="U15" s="613">
        <f>+U12*U14</f>
        <v>0</v>
      </c>
      <c r="V15" s="613"/>
      <c r="W15" s="613">
        <f>+W12*W14</f>
        <v>0</v>
      </c>
      <c r="X15" s="613"/>
      <c r="Y15" s="613">
        <f>+Y12*Y14</f>
        <v>0</v>
      </c>
    </row>
    <row r="16" spans="1:25">
      <c r="A16">
        <f>+A15+1</f>
        <v>6</v>
      </c>
      <c r="B16" s="354" t="s">
        <v>689</v>
      </c>
      <c r="C16" s="528" t="str">
        <f>"(Attachment 4, Line "&amp;'4 - Cost Support'!A298&amp;" etc.)"</f>
        <v>(Attachment 4, Line 120 etc.)</v>
      </c>
      <c r="E16" s="617"/>
      <c r="F16" s="617"/>
      <c r="G16" s="617">
        <f>+'4 - Cost Support'!T298</f>
        <v>448834.92000000027</v>
      </c>
      <c r="H16" s="617"/>
      <c r="I16" s="617">
        <f>+'4 - Cost Support'!T303</f>
        <v>0</v>
      </c>
      <c r="J16" s="617"/>
      <c r="K16" s="617">
        <f>+'4 - Cost Support'!T308</f>
        <v>0</v>
      </c>
      <c r="L16" s="617"/>
      <c r="M16" s="617">
        <f>+'4 - Cost Support'!T313</f>
        <v>0</v>
      </c>
      <c r="N16" s="617"/>
      <c r="O16" s="617">
        <f>+'4 - Cost Support'!T318</f>
        <v>0</v>
      </c>
      <c r="P16" s="617"/>
      <c r="Q16" s="617">
        <f>+'4 - Cost Support'!T323</f>
        <v>0</v>
      </c>
      <c r="R16" s="617"/>
      <c r="S16" s="617">
        <f>+'4 - Cost Support'!T328</f>
        <v>0</v>
      </c>
      <c r="T16" s="617"/>
      <c r="U16" s="617">
        <f>+'4 - Cost Support'!T333</f>
        <v>0</v>
      </c>
      <c r="V16" s="617"/>
      <c r="W16" s="617">
        <f>+'4 - Cost Support'!T338</f>
        <v>0</v>
      </c>
      <c r="X16" s="617"/>
      <c r="Y16" s="617">
        <f>+'4 - Cost Support'!T343</f>
        <v>0</v>
      </c>
    </row>
    <row r="17" spans="1:25">
      <c r="A17">
        <f>+A16+1</f>
        <v>7</v>
      </c>
      <c r="B17" s="456" t="s">
        <v>763</v>
      </c>
      <c r="C17" s="456" t="s">
        <v>764</v>
      </c>
      <c r="D17" s="508"/>
      <c r="E17" s="618"/>
      <c r="F17" s="618"/>
      <c r="G17" s="619">
        <v>0</v>
      </c>
      <c r="H17" s="618"/>
      <c r="I17" s="619">
        <v>0</v>
      </c>
      <c r="J17" s="618"/>
      <c r="K17" s="619">
        <v>0</v>
      </c>
      <c r="L17" s="618"/>
      <c r="M17" s="619">
        <v>0</v>
      </c>
      <c r="N17" s="618"/>
      <c r="O17" s="619">
        <v>0</v>
      </c>
      <c r="P17" s="618"/>
      <c r="Q17" s="619">
        <v>0</v>
      </c>
      <c r="R17" s="618"/>
      <c r="S17" s="619">
        <v>0</v>
      </c>
      <c r="T17" s="618"/>
      <c r="U17" s="619">
        <v>0</v>
      </c>
      <c r="V17" s="618"/>
      <c r="W17" s="619">
        <v>0</v>
      </c>
      <c r="X17" s="618"/>
      <c r="Y17" s="619">
        <v>0</v>
      </c>
    </row>
    <row r="18" spans="1:25">
      <c r="E18" s="617"/>
      <c r="F18" s="617"/>
      <c r="G18" s="617"/>
      <c r="H18" s="617"/>
      <c r="I18" s="617"/>
      <c r="J18" s="617"/>
      <c r="K18" s="617"/>
      <c r="L18" s="617"/>
      <c r="M18" s="617"/>
      <c r="N18" s="617"/>
      <c r="O18" s="617"/>
      <c r="P18" s="617"/>
      <c r="Q18" s="617"/>
      <c r="R18" s="617"/>
      <c r="S18" s="617"/>
      <c r="T18" s="617"/>
      <c r="U18" s="617"/>
      <c r="V18" s="617"/>
      <c r="W18" s="617"/>
      <c r="X18" s="617"/>
      <c r="Y18" s="617"/>
    </row>
    <row r="19" spans="1:25">
      <c r="A19">
        <f>+A17+1</f>
        <v>8</v>
      </c>
      <c r="B19" s="354" t="s">
        <v>765</v>
      </c>
      <c r="C19" s="354" t="str">
        <f>"(Line "&amp;A15&amp;" + Line "&amp;A16&amp;" + Line "&amp;A17&amp;")"</f>
        <v>(Line 5 + Line 6 + Line 7)</v>
      </c>
      <c r="E19" s="620">
        <f>+SUM(G19:Y19)</f>
        <v>3564453.7474992983</v>
      </c>
      <c r="F19" s="617"/>
      <c r="G19" s="617">
        <f>+G15+G16+ G17</f>
        <v>3564453.7474992983</v>
      </c>
      <c r="H19" s="617"/>
      <c r="I19" s="617">
        <f>+I15+I16+ I17</f>
        <v>0</v>
      </c>
      <c r="J19" s="617"/>
      <c r="K19" s="617">
        <f>+K15+K16+ K17</f>
        <v>0</v>
      </c>
      <c r="L19" s="617"/>
      <c r="M19" s="617">
        <f>+M15+M16+ M17</f>
        <v>0</v>
      </c>
      <c r="N19" s="617"/>
      <c r="O19" s="617">
        <f>+O15+O16+ O17</f>
        <v>0</v>
      </c>
      <c r="P19" s="617"/>
      <c r="Q19" s="617">
        <f>+Q15+Q16+ Q17</f>
        <v>0</v>
      </c>
      <c r="R19" s="617"/>
      <c r="S19" s="617">
        <f>+S15+S16+ S17</f>
        <v>0</v>
      </c>
      <c r="T19" s="617"/>
      <c r="U19" s="617">
        <f>+U15+U16+ U17</f>
        <v>0</v>
      </c>
      <c r="V19" s="617"/>
      <c r="W19" s="617">
        <f>+W15+W16+ W17</f>
        <v>0</v>
      </c>
      <c r="X19" s="617"/>
      <c r="Y19" s="617">
        <f>+Y15+Y16+ Y17</f>
        <v>0</v>
      </c>
    </row>
    <row r="20" spans="1:25">
      <c r="E20" s="617"/>
      <c r="F20" s="617"/>
      <c r="G20" s="617"/>
      <c r="H20" s="617"/>
      <c r="I20" s="617"/>
      <c r="J20" s="617"/>
      <c r="K20" s="617"/>
      <c r="L20" s="617"/>
      <c r="M20" s="617"/>
      <c r="N20" s="617"/>
      <c r="O20" s="617"/>
      <c r="P20" s="617"/>
      <c r="Q20" s="617"/>
      <c r="R20" s="617"/>
      <c r="S20" s="617"/>
      <c r="T20" s="617"/>
      <c r="U20" s="617"/>
      <c r="V20" s="617"/>
      <c r="W20" s="617"/>
      <c r="X20" s="617"/>
      <c r="Y20" s="617"/>
    </row>
    <row r="21" spans="1:25" ht="25.5">
      <c r="A21">
        <f>+A19+1</f>
        <v>9</v>
      </c>
      <c r="B21" s="865" t="s">
        <v>1026</v>
      </c>
      <c r="C21" s="866" t="str">
        <f>"(Attachment 6B, Line "&amp;'6B - Schedule 12 True-Up'!B40&amp;") and below"</f>
        <v>(Attachment 6B, Line E) and below</v>
      </c>
      <c r="E21" s="882">
        <f>+G21+I21</f>
        <v>-1308405.8508489251</v>
      </c>
      <c r="F21" s="617"/>
      <c r="G21" s="867">
        <f>+'6B - Schedule 12 True-Up'!I40+'7B - Schedule 12 Projects'!K39</f>
        <v>-1310789.3045989252</v>
      </c>
      <c r="H21" s="617"/>
      <c r="I21" s="867">
        <f>+I39</f>
        <v>2383.4537499999997</v>
      </c>
      <c r="J21" s="617"/>
      <c r="K21" s="614">
        <f>+K19/$E$19*$E$21</f>
        <v>0</v>
      </c>
      <c r="L21" s="617"/>
      <c r="M21" s="614">
        <f>+M19/$E$19*$E$21</f>
        <v>0</v>
      </c>
      <c r="N21" s="617"/>
      <c r="O21" s="614">
        <f>+O19/$E$19*$E$21</f>
        <v>0</v>
      </c>
      <c r="P21" s="617"/>
      <c r="Q21" s="614">
        <f>+Q19/$E$19*$E$21</f>
        <v>0</v>
      </c>
      <c r="R21" s="617"/>
      <c r="S21" s="614">
        <f>+S19/$E$19*$E$21</f>
        <v>0</v>
      </c>
      <c r="T21" s="617"/>
      <c r="U21" s="614">
        <f>+U19/$E$19*$E$21</f>
        <v>0</v>
      </c>
      <c r="V21" s="617"/>
      <c r="W21" s="614">
        <f>+W19/$E$19*$E$21</f>
        <v>0</v>
      </c>
      <c r="X21" s="617"/>
      <c r="Y21" s="614">
        <f>+Y19/$E$19*$E$21</f>
        <v>0</v>
      </c>
    </row>
    <row r="22" spans="1:25" ht="13.5" thickBot="1">
      <c r="B22" s="354" t="s">
        <v>766</v>
      </c>
      <c r="E22" s="617"/>
      <c r="F22" s="617"/>
      <c r="G22" s="617"/>
      <c r="H22" s="617"/>
      <c r="I22" s="617"/>
      <c r="J22" s="617"/>
      <c r="K22" s="617"/>
      <c r="L22" s="617"/>
      <c r="M22" s="617"/>
      <c r="N22" s="617"/>
      <c r="O22" s="617"/>
      <c r="P22" s="617"/>
      <c r="Q22" s="617"/>
      <c r="R22" s="617"/>
      <c r="S22" s="617"/>
      <c r="T22" s="617"/>
      <c r="U22" s="617"/>
      <c r="V22" s="617"/>
      <c r="W22" s="617"/>
      <c r="X22" s="617"/>
      <c r="Y22" s="617"/>
    </row>
    <row r="23" spans="1:25" ht="13.5" thickBot="1">
      <c r="A23">
        <f>+A21+1</f>
        <v>10</v>
      </c>
      <c r="B23" s="354" t="s">
        <v>767</v>
      </c>
      <c r="C23" s="354" t="str">
        <f>"(Line "&amp;A19&amp;" + Line "&amp;A21&amp;")"</f>
        <v>(Line 8 + Line 9)</v>
      </c>
      <c r="E23" s="620">
        <f>+E19+E21</f>
        <v>2256047.896650373</v>
      </c>
      <c r="F23" s="617"/>
      <c r="G23" s="847">
        <f>+G19+G21</f>
        <v>2253664.4429003731</v>
      </c>
      <c r="H23" s="848"/>
      <c r="I23" s="849">
        <f>+I19+I21</f>
        <v>2383.4537499999997</v>
      </c>
      <c r="J23" s="617"/>
      <c r="K23" s="617">
        <f>+K19+K21</f>
        <v>0</v>
      </c>
      <c r="L23" s="617"/>
      <c r="M23" s="617">
        <f>+M19+M21</f>
        <v>0</v>
      </c>
      <c r="N23" s="617"/>
      <c r="O23" s="617">
        <f>+O19+O21</f>
        <v>0</v>
      </c>
      <c r="P23" s="617"/>
      <c r="Q23" s="617">
        <f>+Q19+Q21</f>
        <v>0</v>
      </c>
      <c r="R23" s="617"/>
      <c r="S23" s="617">
        <f>+S19+S21</f>
        <v>0</v>
      </c>
      <c r="T23" s="617"/>
      <c r="U23" s="617">
        <f>+U19+U21</f>
        <v>0</v>
      </c>
      <c r="V23" s="617"/>
      <c r="W23" s="617">
        <f>+W19+W21</f>
        <v>0</v>
      </c>
      <c r="X23" s="617"/>
      <c r="Y23" s="617">
        <f>+Y19+Y21</f>
        <v>0</v>
      </c>
    </row>
    <row r="24" spans="1:25">
      <c r="B24" s="354" t="s">
        <v>768</v>
      </c>
    </row>
    <row r="25" spans="1:25">
      <c r="B25" s="354"/>
    </row>
    <row r="26" spans="1:25">
      <c r="A26">
        <f>+A23+1</f>
        <v>11</v>
      </c>
      <c r="B26" s="354" t="s">
        <v>769</v>
      </c>
      <c r="G26" s="649">
        <v>9.9299999999999999E-2</v>
      </c>
      <c r="H26" s="650"/>
      <c r="I26" s="649">
        <v>1</v>
      </c>
      <c r="J26" s="650"/>
      <c r="K26" s="649">
        <v>0</v>
      </c>
      <c r="L26" s="650"/>
      <c r="M26" s="649">
        <v>0</v>
      </c>
      <c r="N26" s="650"/>
      <c r="O26" s="649">
        <v>0</v>
      </c>
      <c r="P26" s="650"/>
      <c r="Q26" s="649">
        <v>0</v>
      </c>
      <c r="R26" s="650"/>
      <c r="S26" s="649">
        <v>0</v>
      </c>
      <c r="T26" s="650"/>
      <c r="U26" s="649">
        <v>0</v>
      </c>
      <c r="V26" s="650"/>
      <c r="W26" s="649">
        <v>0</v>
      </c>
      <c r="X26" s="650"/>
      <c r="Y26" s="649">
        <v>0</v>
      </c>
    </row>
    <row r="28" spans="1:25">
      <c r="A28">
        <f>+A26+1</f>
        <v>12</v>
      </c>
      <c r="B28" s="354" t="s">
        <v>770</v>
      </c>
      <c r="C28" s="354" t="str">
        <f>"(Line "&amp;A23&amp;" * Line "&amp;A26&amp;")"</f>
        <v>(Line 10 * Line 11)</v>
      </c>
      <c r="E28" s="620">
        <f>+SUM(G28:Y28)</f>
        <v>226172.33293000705</v>
      </c>
      <c r="G28" s="636">
        <f>+G23*G26</f>
        <v>223788.87918000706</v>
      </c>
      <c r="H28" s="636"/>
      <c r="I28" s="636">
        <f>+I23*I26</f>
        <v>2383.4537499999997</v>
      </c>
      <c r="J28" s="636"/>
      <c r="K28" s="636">
        <f>+K23*K26</f>
        <v>0</v>
      </c>
      <c r="L28" s="636"/>
      <c r="M28" s="636">
        <f>+M23*M26</f>
        <v>0</v>
      </c>
      <c r="N28" s="636"/>
      <c r="O28" s="636">
        <f>+O23*O26</f>
        <v>0</v>
      </c>
      <c r="P28" s="636"/>
      <c r="Q28" s="636">
        <f>+Q23*Q26</f>
        <v>0</v>
      </c>
      <c r="R28" s="636"/>
      <c r="S28" s="636">
        <f>+S23*S26</f>
        <v>0</v>
      </c>
      <c r="T28" s="636"/>
      <c r="U28" s="636">
        <f>+U23*U26</f>
        <v>0</v>
      </c>
      <c r="V28" s="636"/>
      <c r="W28" s="636">
        <f>+W23*W26</f>
        <v>0</v>
      </c>
      <c r="X28" s="636"/>
      <c r="Y28" s="636">
        <f>+Y23*Y26</f>
        <v>0</v>
      </c>
    </row>
    <row r="29" spans="1:25" ht="38.25">
      <c r="G29" s="495" t="s">
        <v>1028</v>
      </c>
      <c r="I29" s="495" t="s">
        <v>1027</v>
      </c>
    </row>
    <row r="32" spans="1:25">
      <c r="B32" t="s">
        <v>771</v>
      </c>
    </row>
    <row r="33" spans="1:13">
      <c r="G33" s="829"/>
      <c r="H33" s="829"/>
      <c r="I33" s="868">
        <v>2020</v>
      </c>
      <c r="J33" s="868"/>
      <c r="K33" s="868">
        <v>2021</v>
      </c>
      <c r="L33" s="829"/>
      <c r="M33" s="869" t="s">
        <v>67</v>
      </c>
    </row>
    <row r="34" spans="1:13">
      <c r="A34" s="829">
        <f>+A28+1</f>
        <v>13</v>
      </c>
      <c r="G34" s="870" t="s">
        <v>194</v>
      </c>
      <c r="H34" s="829"/>
      <c r="I34" s="871">
        <v>1970</v>
      </c>
      <c r="J34" s="829"/>
      <c r="K34" s="872">
        <v>36225</v>
      </c>
      <c r="L34" s="829"/>
      <c r="M34" s="873">
        <f>+I34+K34</f>
        <v>38195</v>
      </c>
    </row>
    <row r="35" spans="1:13">
      <c r="A35" s="829">
        <f>+A34+1</f>
        <v>14</v>
      </c>
      <c r="G35" s="829"/>
      <c r="H35" s="829"/>
      <c r="I35" s="870" t="s">
        <v>994</v>
      </c>
      <c r="J35" s="829"/>
      <c r="K35" s="874">
        <v>1</v>
      </c>
      <c r="L35" s="829"/>
      <c r="M35" s="875"/>
    </row>
    <row r="36" spans="1:13">
      <c r="A36" s="829">
        <f t="shared" ref="A36:A39" si="0">+A35+1</f>
        <v>15</v>
      </c>
      <c r="G36" s="870" t="s">
        <v>721</v>
      </c>
      <c r="H36" s="829"/>
      <c r="I36" s="876">
        <f>+I99</f>
        <v>4.562499999999998E-3</v>
      </c>
      <c r="J36" s="829"/>
      <c r="K36" s="876">
        <f>+I100</f>
        <v>4.806249999999998E-3</v>
      </c>
      <c r="L36" s="829"/>
      <c r="M36" s="829"/>
    </row>
    <row r="37" spans="1:13" ht="25.5">
      <c r="A37" s="829">
        <f t="shared" si="0"/>
        <v>16</v>
      </c>
      <c r="G37" s="865" t="s">
        <v>1023</v>
      </c>
      <c r="H37" s="829"/>
      <c r="I37" s="877">
        <f>+'11 - Corrections'!F26</f>
        <v>46</v>
      </c>
      <c r="J37" s="829"/>
      <c r="K37" s="877">
        <f>+'11 - Corrections'!H26</f>
        <v>36</v>
      </c>
      <c r="L37" s="829"/>
      <c r="M37" s="829"/>
    </row>
    <row r="38" spans="1:13">
      <c r="A38" s="829">
        <f t="shared" si="0"/>
        <v>17</v>
      </c>
      <c r="G38" s="870" t="s">
        <v>1024</v>
      </c>
      <c r="H38" s="829"/>
      <c r="I38" s="878">
        <f>+I34*I36*I37</f>
        <v>413.45374999999984</v>
      </c>
      <c r="J38" s="829"/>
      <c r="K38" s="878">
        <f>+K34*K36*K37</f>
        <v>6267.8306249999978</v>
      </c>
      <c r="L38" s="829"/>
      <c r="M38" s="879">
        <f>+I38+K38</f>
        <v>6681.2843749999975</v>
      </c>
    </row>
    <row r="39" spans="1:13" ht="25.5">
      <c r="A39" s="829">
        <f t="shared" si="0"/>
        <v>18</v>
      </c>
      <c r="G39" s="865" t="s">
        <v>1025</v>
      </c>
      <c r="H39" s="829"/>
      <c r="I39" s="873">
        <f>+I34+I38</f>
        <v>2383.4537499999997</v>
      </c>
      <c r="J39" s="829"/>
      <c r="K39" s="873">
        <f>+K34+K38</f>
        <v>42492.830624999995</v>
      </c>
      <c r="L39" s="829"/>
      <c r="M39" s="873">
        <f>+I39+K39</f>
        <v>44876.284374999996</v>
      </c>
    </row>
    <row r="42" spans="1:13">
      <c r="G42" s="870" t="s">
        <v>991</v>
      </c>
      <c r="H42" s="354"/>
    </row>
    <row r="43" spans="1:13">
      <c r="G43" s="846">
        <v>43952</v>
      </c>
      <c r="I43" s="181">
        <v>4.0000000000000001E-3</v>
      </c>
    </row>
    <row r="44" spans="1:13">
      <c r="G44" s="846">
        <f>+G43+31</f>
        <v>43983</v>
      </c>
      <c r="I44" s="181">
        <v>3.8999999999999998E-3</v>
      </c>
    </row>
    <row r="45" spans="1:13">
      <c r="G45" s="846">
        <f t="shared" ref="G45:G98" si="1">+G44+31</f>
        <v>44014</v>
      </c>
      <c r="I45" s="181">
        <v>2.8999999999999998E-3</v>
      </c>
    </row>
    <row r="46" spans="1:13">
      <c r="G46" s="846">
        <f t="shared" si="1"/>
        <v>44045</v>
      </c>
      <c r="I46" s="181">
        <v>2.8999999999999998E-3</v>
      </c>
    </row>
    <row r="47" spans="1:13">
      <c r="G47" s="846">
        <f t="shared" si="1"/>
        <v>44076</v>
      </c>
      <c r="I47" s="181">
        <v>2.8E-3</v>
      </c>
    </row>
    <row r="48" spans="1:13">
      <c r="G48" s="846">
        <f t="shared" si="1"/>
        <v>44107</v>
      </c>
      <c r="I48" s="181">
        <v>2.8E-3</v>
      </c>
    </row>
    <row r="49" spans="7:9">
      <c r="G49" s="846">
        <f t="shared" si="1"/>
        <v>44138</v>
      </c>
      <c r="I49" s="181">
        <v>2.7000000000000001E-3</v>
      </c>
    </row>
    <row r="50" spans="7:9">
      <c r="G50" s="846">
        <f t="shared" si="1"/>
        <v>44169</v>
      </c>
      <c r="I50" s="181">
        <v>2.8E-3</v>
      </c>
    </row>
    <row r="51" spans="7:9">
      <c r="G51" s="846">
        <f t="shared" si="1"/>
        <v>44200</v>
      </c>
      <c r="I51" s="181">
        <v>2.8E-3</v>
      </c>
    </row>
    <row r="52" spans="7:9">
      <c r="G52" s="846">
        <f t="shared" si="1"/>
        <v>44231</v>
      </c>
      <c r="I52" s="650">
        <v>2.5000000000000001E-3</v>
      </c>
    </row>
    <row r="53" spans="7:9">
      <c r="G53" s="846">
        <f t="shared" si="1"/>
        <v>44262</v>
      </c>
      <c r="I53" s="650">
        <v>2.8E-3</v>
      </c>
    </row>
    <row r="54" spans="7:9">
      <c r="G54" s="846">
        <f t="shared" si="1"/>
        <v>44293</v>
      </c>
      <c r="I54" s="650">
        <v>2.7000000000000001E-3</v>
      </c>
    </row>
    <row r="55" spans="7:9">
      <c r="G55" s="846">
        <f t="shared" si="1"/>
        <v>44324</v>
      </c>
      <c r="I55" s="650">
        <v>2.8E-3</v>
      </c>
    </row>
    <row r="56" spans="7:9">
      <c r="G56" s="846">
        <f t="shared" si="1"/>
        <v>44355</v>
      </c>
      <c r="I56" s="650">
        <v>2.7000000000000001E-3</v>
      </c>
    </row>
    <row r="57" spans="7:9">
      <c r="G57" s="846">
        <f t="shared" si="1"/>
        <v>44386</v>
      </c>
      <c r="I57" s="650">
        <v>2.8E-3</v>
      </c>
    </row>
    <row r="58" spans="7:9">
      <c r="G58" s="846">
        <f t="shared" si="1"/>
        <v>44417</v>
      </c>
      <c r="I58" s="650">
        <v>2.8E-3</v>
      </c>
    </row>
    <row r="59" spans="7:9">
      <c r="G59" s="846">
        <f t="shared" si="1"/>
        <v>44448</v>
      </c>
      <c r="I59" s="650">
        <v>2.7000000000000001E-3</v>
      </c>
    </row>
    <row r="60" spans="7:9">
      <c r="G60" s="846">
        <f t="shared" si="1"/>
        <v>44479</v>
      </c>
      <c r="I60" s="650">
        <v>2.8E-3</v>
      </c>
    </row>
    <row r="61" spans="7:9">
      <c r="G61" s="846">
        <f t="shared" si="1"/>
        <v>44510</v>
      </c>
      <c r="I61" s="650">
        <v>2.7000000000000001E-3</v>
      </c>
    </row>
    <row r="62" spans="7:9">
      <c r="G62" s="846">
        <f t="shared" si="1"/>
        <v>44541</v>
      </c>
      <c r="I62" s="650">
        <v>2.8E-3</v>
      </c>
    </row>
    <row r="63" spans="7:9">
      <c r="G63" s="846">
        <f t="shared" si="1"/>
        <v>44572</v>
      </c>
      <c r="I63" s="650">
        <v>2.8E-3</v>
      </c>
    </row>
    <row r="64" spans="7:9">
      <c r="G64" s="846">
        <f t="shared" si="1"/>
        <v>44603</v>
      </c>
      <c r="I64" s="650">
        <v>2.5000000000000001E-3</v>
      </c>
    </row>
    <row r="65" spans="7:9">
      <c r="G65" s="846">
        <f t="shared" si="1"/>
        <v>44634</v>
      </c>
      <c r="I65" s="650">
        <v>2.8E-3</v>
      </c>
    </row>
    <row r="66" spans="7:9">
      <c r="G66" s="846">
        <f t="shared" si="1"/>
        <v>44665</v>
      </c>
      <c r="I66" s="650">
        <v>2.7000000000000001E-3</v>
      </c>
    </row>
    <row r="67" spans="7:9">
      <c r="G67" s="846">
        <f t="shared" si="1"/>
        <v>44696</v>
      </c>
      <c r="I67" s="650">
        <v>2.8E-3</v>
      </c>
    </row>
    <row r="68" spans="7:9">
      <c r="G68" s="846">
        <f t="shared" si="1"/>
        <v>44727</v>
      </c>
      <c r="I68" s="650">
        <v>2.7000000000000001E-3</v>
      </c>
    </row>
    <row r="69" spans="7:9">
      <c r="G69" s="846">
        <f t="shared" si="1"/>
        <v>44758</v>
      </c>
      <c r="I69" s="650">
        <v>3.0999999999999999E-3</v>
      </c>
    </row>
    <row r="70" spans="7:9">
      <c r="G70" s="846">
        <f>+G69+31</f>
        <v>44789</v>
      </c>
      <c r="I70" s="650">
        <v>3.0999999999999999E-3</v>
      </c>
    </row>
    <row r="71" spans="7:9">
      <c r="G71" s="846">
        <f t="shared" si="1"/>
        <v>44820</v>
      </c>
      <c r="I71" s="650">
        <v>3.0000000000000001E-3</v>
      </c>
    </row>
    <row r="72" spans="7:9">
      <c r="G72" s="846">
        <f t="shared" si="1"/>
        <v>44851</v>
      </c>
      <c r="I72" s="650">
        <v>4.1999999999999997E-3</v>
      </c>
    </row>
    <row r="73" spans="7:9">
      <c r="G73" s="846">
        <f t="shared" si="1"/>
        <v>44882</v>
      </c>
      <c r="I73" s="181">
        <v>4.0000000000000001E-3</v>
      </c>
    </row>
    <row r="74" spans="7:9">
      <c r="G74" s="846">
        <f t="shared" si="1"/>
        <v>44913</v>
      </c>
      <c r="I74" s="650">
        <v>4.1999999999999997E-3</v>
      </c>
    </row>
    <row r="75" spans="7:9">
      <c r="G75" s="846">
        <f t="shared" si="1"/>
        <v>44944</v>
      </c>
      <c r="I75" s="650">
        <v>5.4000000000000003E-3</v>
      </c>
    </row>
    <row r="76" spans="7:9">
      <c r="G76" s="846">
        <f t="shared" si="1"/>
        <v>44975</v>
      </c>
      <c r="I76" s="650">
        <v>4.7999999999999996E-3</v>
      </c>
    </row>
    <row r="77" spans="7:9">
      <c r="G77" s="846">
        <f t="shared" si="1"/>
        <v>45006</v>
      </c>
      <c r="I77" s="650">
        <v>5.4000000000000003E-3</v>
      </c>
    </row>
    <row r="78" spans="7:9">
      <c r="G78" s="846">
        <f t="shared" si="1"/>
        <v>45037</v>
      </c>
      <c r="I78" s="650">
        <v>6.1999999999999998E-3</v>
      </c>
    </row>
    <row r="79" spans="7:9">
      <c r="G79" s="846">
        <f t="shared" si="1"/>
        <v>45068</v>
      </c>
      <c r="I79" s="650">
        <v>6.4000000000000003E-3</v>
      </c>
    </row>
    <row r="80" spans="7:9">
      <c r="G80" s="846">
        <f>+G79+31</f>
        <v>45099</v>
      </c>
      <c r="I80" s="650">
        <v>6.1999999999999998E-3</v>
      </c>
    </row>
    <row r="81" spans="7:9">
      <c r="G81" s="846">
        <f t="shared" si="1"/>
        <v>45130</v>
      </c>
      <c r="I81" s="650">
        <v>6.7999999999999996E-3</v>
      </c>
    </row>
    <row r="82" spans="7:9">
      <c r="G82" s="846">
        <f t="shared" si="1"/>
        <v>45161</v>
      </c>
      <c r="I82" s="650">
        <v>6.7999999999999996E-3</v>
      </c>
    </row>
    <row r="83" spans="7:9">
      <c r="G83" s="846">
        <f t="shared" si="1"/>
        <v>45192</v>
      </c>
      <c r="I83" s="650">
        <v>6.6E-3</v>
      </c>
    </row>
    <row r="84" spans="7:9">
      <c r="G84" s="846">
        <f t="shared" si="1"/>
        <v>45223</v>
      </c>
      <c r="I84" s="650">
        <v>7.1000000000000004E-3</v>
      </c>
    </row>
    <row r="85" spans="7:9">
      <c r="G85" s="846">
        <f t="shared" si="1"/>
        <v>45254</v>
      </c>
      <c r="I85" s="650">
        <v>6.8999999999999999E-3</v>
      </c>
    </row>
    <row r="86" spans="7:9">
      <c r="G86" s="846">
        <f t="shared" si="1"/>
        <v>45285</v>
      </c>
      <c r="I86" s="650">
        <f>+I84</f>
        <v>7.1000000000000004E-3</v>
      </c>
    </row>
    <row r="87" spans="7:9">
      <c r="G87" s="846">
        <f t="shared" si="1"/>
        <v>45316</v>
      </c>
      <c r="I87" s="650">
        <f>+I86</f>
        <v>7.1000000000000004E-3</v>
      </c>
    </row>
    <row r="88" spans="7:9">
      <c r="G88" s="846">
        <f t="shared" si="1"/>
        <v>45347</v>
      </c>
      <c r="I88" s="650">
        <f>+I85</f>
        <v>6.8999999999999999E-3</v>
      </c>
    </row>
    <row r="89" spans="7:9">
      <c r="G89" s="846">
        <f>+G88+31</f>
        <v>45378</v>
      </c>
      <c r="I89" s="650">
        <f>+I87</f>
        <v>7.1000000000000004E-3</v>
      </c>
    </row>
    <row r="90" spans="7:9">
      <c r="G90" s="846">
        <f t="shared" si="1"/>
        <v>45409</v>
      </c>
      <c r="I90" s="650">
        <f>+I85</f>
        <v>6.8999999999999999E-3</v>
      </c>
    </row>
    <row r="91" spans="7:9">
      <c r="G91" s="846">
        <f t="shared" si="1"/>
        <v>45440</v>
      </c>
      <c r="I91" s="650">
        <f>+I89</f>
        <v>7.1000000000000004E-3</v>
      </c>
    </row>
    <row r="92" spans="7:9">
      <c r="G92" s="846">
        <f t="shared" si="1"/>
        <v>45471</v>
      </c>
      <c r="I92" s="650">
        <f>+I90</f>
        <v>6.8999999999999999E-3</v>
      </c>
    </row>
    <row r="93" spans="7:9">
      <c r="G93" s="846">
        <f t="shared" si="1"/>
        <v>45502</v>
      </c>
      <c r="I93" s="650">
        <f>+I91</f>
        <v>7.1000000000000004E-3</v>
      </c>
    </row>
    <row r="94" spans="7:9">
      <c r="G94" s="846">
        <f t="shared" si="1"/>
        <v>45533</v>
      </c>
      <c r="I94" s="650">
        <f>+I93</f>
        <v>7.1000000000000004E-3</v>
      </c>
    </row>
    <row r="95" spans="7:9">
      <c r="G95" s="846">
        <f t="shared" si="1"/>
        <v>45564</v>
      </c>
      <c r="I95" s="650">
        <f>+I92</f>
        <v>6.8999999999999999E-3</v>
      </c>
    </row>
    <row r="96" spans="7:9">
      <c r="G96" s="846">
        <f t="shared" si="1"/>
        <v>45595</v>
      </c>
      <c r="I96" s="650">
        <f>+I94</f>
        <v>7.1000000000000004E-3</v>
      </c>
    </row>
    <row r="97" spans="7:9">
      <c r="G97" s="846">
        <f t="shared" si="1"/>
        <v>45626</v>
      </c>
      <c r="I97" s="650">
        <f>+I95</f>
        <v>6.8999999999999999E-3</v>
      </c>
    </row>
    <row r="98" spans="7:9">
      <c r="G98" s="846">
        <f t="shared" si="1"/>
        <v>45657</v>
      </c>
      <c r="I98" s="650">
        <f>+I96</f>
        <v>7.1000000000000004E-3</v>
      </c>
    </row>
    <row r="99" spans="7:9">
      <c r="G99" s="354" t="s">
        <v>992</v>
      </c>
      <c r="I99" s="650">
        <f>+AVERAGE(I43:I98)</f>
        <v>4.562499999999998E-3</v>
      </c>
    </row>
    <row r="100" spans="7:9">
      <c r="G100" s="354" t="s">
        <v>993</v>
      </c>
      <c r="I100" s="650">
        <f>+AVERAGE(I51:I98)</f>
        <v>4.806249999999998E-3</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zoomScaleNormal="100" zoomScaleSheetLayoutView="80" workbookViewId="0">
      <selection activeCell="B4" sqref="B4"/>
    </sheetView>
  </sheetViews>
  <sheetFormatPr defaultRowHeight="12.75"/>
  <cols>
    <col min="1" max="1" width="40.140625" customWidth="1"/>
    <col min="2" max="2" width="41.7109375" customWidth="1"/>
    <col min="3" max="3" width="17.140625" customWidth="1"/>
    <col min="4" max="4" width="9" style="675" bestFit="1" customWidth="1"/>
    <col min="5" max="5" width="7.140625" bestFit="1" customWidth="1"/>
    <col min="6" max="6" width="19.42578125" customWidth="1"/>
  </cols>
  <sheetData>
    <row r="1" spans="1:7" ht="18">
      <c r="B1" s="771" t="s">
        <v>0</v>
      </c>
    </row>
    <row r="2" spans="1:7" ht="18">
      <c r="B2" s="771" t="str">
        <f>+'Appendix A'!A4</f>
        <v xml:space="preserve">ATTACHMENT H-15A </v>
      </c>
    </row>
    <row r="3" spans="1:7" ht="18">
      <c r="B3" s="771" t="s">
        <v>772</v>
      </c>
    </row>
    <row r="4" spans="1:7" ht="21.75" customHeight="1">
      <c r="B4" s="663">
        <v>45657</v>
      </c>
      <c r="F4" s="627"/>
    </row>
    <row r="6" spans="1:7">
      <c r="A6" s="928"/>
      <c r="B6" s="928"/>
      <c r="C6" s="928"/>
      <c r="D6" s="928"/>
      <c r="E6" s="928"/>
      <c r="F6" s="928"/>
      <c r="G6" s="928"/>
    </row>
    <row r="7" spans="1:7">
      <c r="A7" s="929"/>
      <c r="B7" s="929"/>
      <c r="C7" s="929"/>
      <c r="D7" s="929"/>
      <c r="E7" s="929"/>
      <c r="F7" s="929"/>
      <c r="G7" s="929"/>
    </row>
    <row r="8" spans="1:7">
      <c r="A8" s="354"/>
      <c r="B8" s="354"/>
      <c r="C8" s="181"/>
      <c r="D8" s="676"/>
      <c r="E8" s="354"/>
      <c r="F8" s="354"/>
      <c r="G8" s="354"/>
    </row>
    <row r="9" spans="1:7" ht="15">
      <c r="A9" s="366" t="s">
        <v>494</v>
      </c>
      <c r="B9" s="367" t="s">
        <v>773</v>
      </c>
      <c r="C9" s="367" t="s">
        <v>774</v>
      </c>
      <c r="D9" s="677"/>
      <c r="E9" s="45"/>
      <c r="F9" s="354"/>
      <c r="G9" s="354"/>
    </row>
    <row r="10" spans="1:7" ht="15">
      <c r="A10" s="368"/>
      <c r="B10" s="368"/>
      <c r="C10" s="368"/>
      <c r="D10" s="677"/>
      <c r="E10" s="45"/>
      <c r="F10" s="354"/>
      <c r="G10" s="354"/>
    </row>
    <row r="11" spans="1:7" ht="15.75">
      <c r="A11" s="366" t="s">
        <v>775</v>
      </c>
      <c r="B11" s="369"/>
      <c r="C11" s="370"/>
      <c r="D11" s="677"/>
      <c r="E11" s="45"/>
      <c r="F11" s="354"/>
      <c r="G11" s="354"/>
    </row>
    <row r="12" spans="1:7" ht="15">
      <c r="A12" s="371">
        <v>350</v>
      </c>
      <c r="B12" s="369" t="s">
        <v>776</v>
      </c>
      <c r="C12" s="372" t="s">
        <v>777</v>
      </c>
      <c r="D12" s="677"/>
      <c r="E12" s="45"/>
      <c r="F12" s="354"/>
      <c r="G12" s="354"/>
    </row>
    <row r="13" spans="1:7" ht="15">
      <c r="A13" s="371">
        <v>352</v>
      </c>
      <c r="B13" s="369" t="s">
        <v>778</v>
      </c>
      <c r="C13" s="807">
        <v>1.9199999999999998E-2</v>
      </c>
      <c r="E13" s="45"/>
      <c r="F13" s="354"/>
      <c r="G13" s="354"/>
    </row>
    <row r="14" spans="1:7" ht="15">
      <c r="A14" s="371">
        <v>353</v>
      </c>
      <c r="B14" s="369" t="s">
        <v>779</v>
      </c>
      <c r="C14" s="807">
        <v>2.0899999999999998E-2</v>
      </c>
      <c r="E14" s="373"/>
      <c r="F14" s="354"/>
      <c r="G14" s="354"/>
    </row>
    <row r="15" spans="1:7" ht="15">
      <c r="A15" s="371">
        <v>354</v>
      </c>
      <c r="B15" s="369" t="s">
        <v>780</v>
      </c>
      <c r="C15" s="807">
        <v>1.9199999999999998E-2</v>
      </c>
      <c r="E15" s="373"/>
      <c r="F15" s="354"/>
      <c r="G15" s="354"/>
    </row>
    <row r="16" spans="1:7" ht="15">
      <c r="A16" s="371">
        <v>355</v>
      </c>
      <c r="B16" s="369" t="s">
        <v>781</v>
      </c>
      <c r="C16" s="807">
        <v>2.4500000000000001E-2</v>
      </c>
      <c r="E16" s="373"/>
      <c r="F16" s="354"/>
      <c r="G16" s="354"/>
    </row>
    <row r="17" spans="1:7" ht="15">
      <c r="A17" s="371">
        <v>356</v>
      </c>
      <c r="B17" s="369" t="s">
        <v>782</v>
      </c>
      <c r="C17" s="807">
        <v>2.4500000000000001E-2</v>
      </c>
      <c r="E17" s="373"/>
      <c r="F17" s="354"/>
      <c r="G17" s="354"/>
    </row>
    <row r="18" spans="1:7" ht="15">
      <c r="A18" s="371">
        <v>357</v>
      </c>
      <c r="B18" s="369" t="s">
        <v>783</v>
      </c>
      <c r="C18" s="807">
        <v>1.3299999999999999E-2</v>
      </c>
      <c r="E18" s="373"/>
      <c r="F18" s="354"/>
      <c r="G18" s="354"/>
    </row>
    <row r="19" spans="1:7" ht="15">
      <c r="A19" s="371">
        <v>358</v>
      </c>
      <c r="B19" s="369" t="s">
        <v>784</v>
      </c>
      <c r="C19" s="807">
        <v>1.8200000000000001E-2</v>
      </c>
      <c r="E19" s="373"/>
      <c r="F19" s="354"/>
      <c r="G19" s="354"/>
    </row>
    <row r="20" spans="1:7" ht="15">
      <c r="A20" s="371">
        <v>359</v>
      </c>
      <c r="B20" s="369" t="s">
        <v>785</v>
      </c>
      <c r="C20" s="807">
        <v>1.2500000000000001E-2</v>
      </c>
      <c r="E20" s="373"/>
      <c r="F20" s="354"/>
      <c r="G20" s="354"/>
    </row>
    <row r="21" spans="1:7" ht="15">
      <c r="A21" s="371"/>
      <c r="B21" s="369"/>
      <c r="C21" s="372"/>
      <c r="D21" s="43"/>
      <c r="E21" s="373"/>
      <c r="F21" s="354"/>
      <c r="G21" s="354"/>
    </row>
    <row r="22" spans="1:7" ht="15">
      <c r="A22" s="374" t="s">
        <v>786</v>
      </c>
      <c r="B22" s="369"/>
      <c r="C22" s="375"/>
      <c r="D22" s="43"/>
      <c r="E22" s="373"/>
      <c r="F22" s="354"/>
      <c r="G22" s="354"/>
    </row>
    <row r="23" spans="1:7" ht="15">
      <c r="A23" s="371">
        <v>302</v>
      </c>
      <c r="B23" s="369" t="s">
        <v>787</v>
      </c>
      <c r="C23" s="372" t="s">
        <v>777</v>
      </c>
      <c r="D23" s="43"/>
      <c r="E23" s="373"/>
      <c r="F23" s="354"/>
      <c r="G23" s="354"/>
    </row>
    <row r="24" spans="1:7" ht="15">
      <c r="A24" s="371">
        <v>303</v>
      </c>
      <c r="B24" s="369" t="s">
        <v>788</v>
      </c>
      <c r="C24" s="807">
        <v>0.1429</v>
      </c>
      <c r="D24" s="43"/>
      <c r="E24" s="373"/>
      <c r="F24" s="354"/>
      <c r="G24" s="354"/>
    </row>
    <row r="25" spans="1:7" ht="15">
      <c r="A25" s="371">
        <v>390</v>
      </c>
      <c r="B25" s="376" t="s">
        <v>778</v>
      </c>
      <c r="C25" s="807">
        <v>3.3300000000000003E-2</v>
      </c>
      <c r="D25" s="43"/>
      <c r="E25" s="373"/>
      <c r="F25" s="354"/>
      <c r="G25" s="354"/>
    </row>
    <row r="26" spans="1:7" ht="15">
      <c r="A26" s="697">
        <v>362.1</v>
      </c>
      <c r="B26" s="376" t="s">
        <v>789</v>
      </c>
      <c r="C26" s="807">
        <v>0.04</v>
      </c>
      <c r="D26" s="43"/>
      <c r="E26" s="373"/>
      <c r="F26" s="354"/>
      <c r="G26" s="354"/>
    </row>
    <row r="27" spans="1:7" ht="15">
      <c r="A27" s="697">
        <v>362.1</v>
      </c>
      <c r="B27" s="376" t="s">
        <v>790</v>
      </c>
      <c r="C27" s="807">
        <v>0.1429</v>
      </c>
      <c r="D27" s="43"/>
      <c r="E27" s="373"/>
      <c r="F27" s="354"/>
      <c r="G27" s="354"/>
    </row>
    <row r="28" spans="1:7" ht="15">
      <c r="A28" s="697">
        <v>362.2</v>
      </c>
      <c r="B28" s="376" t="s">
        <v>791</v>
      </c>
      <c r="C28" s="807">
        <v>0.12</v>
      </c>
      <c r="D28" s="43"/>
      <c r="E28" s="373"/>
      <c r="F28" s="354"/>
      <c r="G28" s="354"/>
    </row>
    <row r="29" spans="1:7" ht="15">
      <c r="A29" s="697">
        <v>362.2</v>
      </c>
      <c r="B29" s="376" t="s">
        <v>792</v>
      </c>
      <c r="C29" s="807">
        <v>0.12</v>
      </c>
      <c r="D29" s="43"/>
      <c r="E29" s="373"/>
      <c r="F29" s="354"/>
      <c r="G29" s="354"/>
    </row>
    <row r="30" spans="1:7" ht="15">
      <c r="A30" s="697">
        <v>362.2</v>
      </c>
      <c r="B30" s="376" t="s">
        <v>793</v>
      </c>
      <c r="C30" s="807">
        <v>0.12</v>
      </c>
      <c r="D30" s="43"/>
      <c r="E30" s="373"/>
      <c r="F30" s="354"/>
      <c r="G30" s="354"/>
    </row>
    <row r="31" spans="1:7" ht="15">
      <c r="A31" s="697">
        <v>362.2</v>
      </c>
      <c r="B31" s="376" t="s">
        <v>794</v>
      </c>
      <c r="C31" s="807">
        <v>0.12</v>
      </c>
      <c r="D31" s="43"/>
      <c r="E31" s="373"/>
      <c r="F31" s="354"/>
      <c r="G31" s="354"/>
    </row>
    <row r="32" spans="1:7" ht="15">
      <c r="A32" s="371">
        <v>393</v>
      </c>
      <c r="B32" s="376" t="s">
        <v>795</v>
      </c>
      <c r="C32" s="807">
        <v>3.85E-2</v>
      </c>
      <c r="D32" s="677"/>
      <c r="E32" s="45"/>
      <c r="F32" s="354"/>
      <c r="G32" s="354"/>
    </row>
    <row r="33" spans="1:7" ht="15">
      <c r="A33" s="371">
        <v>394</v>
      </c>
      <c r="B33" s="376" t="s">
        <v>796</v>
      </c>
      <c r="C33" s="807">
        <v>3.6499999999999998E-2</v>
      </c>
      <c r="D33" s="677"/>
      <c r="E33" s="45"/>
      <c r="F33" s="354"/>
      <c r="G33" s="354"/>
    </row>
    <row r="34" spans="1:7" ht="15">
      <c r="A34" s="371">
        <v>395</v>
      </c>
      <c r="B34" s="376" t="s">
        <v>797</v>
      </c>
      <c r="C34" s="807">
        <v>0.04</v>
      </c>
      <c r="D34" s="677"/>
      <c r="E34" s="45"/>
      <c r="F34" s="354"/>
      <c r="G34" s="354"/>
    </row>
    <row r="35" spans="1:7" ht="15">
      <c r="A35" s="371">
        <v>396</v>
      </c>
      <c r="B35" s="376" t="s">
        <v>798</v>
      </c>
      <c r="C35" s="807">
        <v>0.05</v>
      </c>
      <c r="D35" s="677"/>
      <c r="E35" s="45"/>
      <c r="F35" s="354"/>
      <c r="G35" s="354"/>
    </row>
    <row r="36" spans="1:7" ht="15">
      <c r="A36" s="697">
        <v>362.7</v>
      </c>
      <c r="B36" s="369" t="s">
        <v>799</v>
      </c>
      <c r="C36" s="807">
        <v>0.05</v>
      </c>
      <c r="D36" s="677"/>
      <c r="E36" s="45"/>
      <c r="F36" s="354"/>
      <c r="G36" s="354"/>
    </row>
    <row r="37" spans="1:7" ht="15">
      <c r="A37" s="371">
        <v>398</v>
      </c>
      <c r="B37" s="376" t="s">
        <v>800</v>
      </c>
      <c r="C37" s="807">
        <v>6.25E-2</v>
      </c>
      <c r="D37" s="677"/>
      <c r="E37" s="45"/>
      <c r="F37" s="354"/>
      <c r="G37" s="354"/>
    </row>
    <row r="38" spans="1:7" ht="15">
      <c r="A38" s="369"/>
      <c r="B38" s="369"/>
      <c r="C38" s="369"/>
      <c r="D38" s="678"/>
      <c r="E38" s="377"/>
      <c r="F38" s="354"/>
      <c r="G38" s="354"/>
    </row>
    <row r="39" spans="1:7" ht="15">
      <c r="A39" s="378" t="s">
        <v>801</v>
      </c>
      <c r="B39" s="369"/>
      <c r="C39" s="369"/>
      <c r="D39" s="678"/>
      <c r="E39" s="369"/>
      <c r="F39" s="45"/>
      <c r="G39" s="45"/>
    </row>
    <row r="40" spans="1:7" ht="15">
      <c r="A40" s="369" t="s">
        <v>802</v>
      </c>
      <c r="B40" s="369"/>
      <c r="C40" s="369"/>
      <c r="D40" s="678"/>
      <c r="E40" s="369"/>
      <c r="F40" s="45"/>
      <c r="G40" s="45"/>
    </row>
    <row r="41" spans="1:7" ht="14.25">
      <c r="A41" s="360"/>
      <c r="B41" s="358"/>
      <c r="C41" s="359"/>
      <c r="D41" s="679"/>
      <c r="E41" s="361"/>
      <c r="F41" s="354"/>
      <c r="G41" s="354"/>
    </row>
    <row r="42" spans="1:7" ht="14.25">
      <c r="A42" s="360"/>
      <c r="B42" s="362"/>
      <c r="C42" s="358"/>
      <c r="D42" s="680"/>
      <c r="E42" s="361"/>
      <c r="F42" s="354"/>
      <c r="G42" s="354"/>
    </row>
    <row r="43" spans="1:7" ht="14.25">
      <c r="A43" s="930"/>
      <c r="B43" s="931"/>
      <c r="C43" s="931"/>
      <c r="D43" s="676"/>
      <c r="E43" s="354"/>
      <c r="F43" s="354"/>
      <c r="G43" s="354"/>
    </row>
    <row r="44" spans="1:7" ht="14.25">
      <c r="A44" s="363"/>
      <c r="B44" s="770"/>
      <c r="C44" s="364"/>
      <c r="D44" s="676"/>
      <c r="E44" s="354"/>
      <c r="F44" s="354"/>
      <c r="G44" s="354"/>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G26" activePane="bottomRight" state="frozen"/>
      <selection pane="topRight" activeCell="C1" sqref="C1"/>
      <selection pane="bottomLeft" activeCell="A11" sqref="A11"/>
      <selection pane="bottomRight" activeCell="V64" sqref="V64"/>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I2" s="227" t="str">
        <f>+'Appendix A'!A3</f>
        <v>Dayton Power and Light</v>
      </c>
    </row>
    <row r="3" spans="1:26" ht="20.25">
      <c r="I3" s="227" t="str">
        <f>+'Appendix A'!A4</f>
        <v xml:space="preserve">ATTACHMENT H-15A </v>
      </c>
      <c r="P3" s="627"/>
    </row>
    <row r="4" spans="1:26" ht="30" customHeight="1">
      <c r="B4" s="933"/>
      <c r="C4" s="933"/>
      <c r="I4" s="227" t="s">
        <v>1019</v>
      </c>
    </row>
    <row r="5" spans="1:26" ht="20.25">
      <c r="I5" s="227" t="s">
        <v>803</v>
      </c>
    </row>
    <row r="6" spans="1:26" ht="20.25">
      <c r="A6" s="71" t="s">
        <v>411</v>
      </c>
      <c r="I6" s="227"/>
    </row>
    <row r="7" spans="1:26">
      <c r="A7" s="398"/>
      <c r="B7" s="769" t="s">
        <v>804</v>
      </c>
      <c r="C7" s="769" t="s">
        <v>805</v>
      </c>
      <c r="D7" s="769" t="s">
        <v>806</v>
      </c>
      <c r="E7" s="769" t="s">
        <v>807</v>
      </c>
      <c r="F7" s="769" t="s">
        <v>808</v>
      </c>
      <c r="G7" s="769" t="s">
        <v>809</v>
      </c>
      <c r="H7" s="769" t="s">
        <v>810</v>
      </c>
      <c r="I7" s="769" t="s">
        <v>811</v>
      </c>
      <c r="J7" s="769" t="s">
        <v>812</v>
      </c>
      <c r="K7" s="769" t="s">
        <v>813</v>
      </c>
      <c r="L7" s="769" t="s">
        <v>814</v>
      </c>
      <c r="M7" s="769" t="s">
        <v>815</v>
      </c>
      <c r="N7" s="769" t="s">
        <v>816</v>
      </c>
      <c r="O7" s="769" t="s">
        <v>817</v>
      </c>
      <c r="P7" s="769" t="s">
        <v>818</v>
      </c>
      <c r="Q7" s="769" t="s">
        <v>819</v>
      </c>
      <c r="R7" s="769" t="s">
        <v>820</v>
      </c>
      <c r="S7" s="769" t="s">
        <v>821</v>
      </c>
      <c r="T7" s="769" t="s">
        <v>822</v>
      </c>
      <c r="U7" s="769" t="s">
        <v>823</v>
      </c>
      <c r="V7" s="769" t="s">
        <v>824</v>
      </c>
      <c r="W7" s="769" t="s">
        <v>825</v>
      </c>
      <c r="X7" s="769" t="s">
        <v>826</v>
      </c>
      <c r="Y7" s="769" t="s">
        <v>827</v>
      </c>
      <c r="Z7" s="769" t="s">
        <v>828</v>
      </c>
    </row>
    <row r="8" spans="1:26" ht="90">
      <c r="A8" s="52" t="s">
        <v>829</v>
      </c>
      <c r="B8" s="52" t="s">
        <v>773</v>
      </c>
      <c r="C8" s="441" t="s">
        <v>830</v>
      </c>
      <c r="D8" s="441" t="s">
        <v>831</v>
      </c>
      <c r="E8" s="441" t="s">
        <v>832</v>
      </c>
      <c r="F8" s="441" t="s">
        <v>833</v>
      </c>
      <c r="G8" s="441" t="s">
        <v>834</v>
      </c>
      <c r="H8" s="441" t="s">
        <v>835</v>
      </c>
      <c r="I8" s="441" t="s">
        <v>836</v>
      </c>
      <c r="J8" s="441" t="s">
        <v>837</v>
      </c>
      <c r="K8" s="441" t="s">
        <v>838</v>
      </c>
      <c r="L8" s="441" t="s">
        <v>839</v>
      </c>
      <c r="M8" s="441" t="s">
        <v>840</v>
      </c>
      <c r="N8" s="441" t="s">
        <v>841</v>
      </c>
      <c r="O8" s="441" t="s">
        <v>842</v>
      </c>
      <c r="P8" s="441" t="s">
        <v>843</v>
      </c>
      <c r="Q8" s="441" t="s">
        <v>844</v>
      </c>
      <c r="R8" s="441" t="s">
        <v>845</v>
      </c>
      <c r="S8" s="441" t="s">
        <v>846</v>
      </c>
      <c r="T8" s="441" t="s">
        <v>847</v>
      </c>
      <c r="U8" s="441" t="s">
        <v>848</v>
      </c>
      <c r="V8" s="441" t="s">
        <v>849</v>
      </c>
      <c r="W8" s="441" t="s">
        <v>850</v>
      </c>
      <c r="X8" s="441" t="s">
        <v>851</v>
      </c>
      <c r="Y8" s="441" t="s">
        <v>852</v>
      </c>
      <c r="Z8" s="441" t="s">
        <v>853</v>
      </c>
    </row>
    <row r="9" spans="1:26" ht="31.5">
      <c r="A9" s="45"/>
      <c r="B9" s="399" t="s">
        <v>854</v>
      </c>
      <c r="C9" s="58"/>
      <c r="D9" s="58"/>
      <c r="E9" s="685"/>
      <c r="F9" s="685"/>
      <c r="G9" s="685"/>
      <c r="H9" s="685"/>
      <c r="I9" s="685"/>
      <c r="J9" s="685"/>
      <c r="K9" s="685"/>
      <c r="L9" s="685"/>
      <c r="M9" s="685"/>
      <c r="N9" s="685"/>
      <c r="O9" s="685"/>
      <c r="P9" s="685"/>
      <c r="Q9" s="685"/>
      <c r="R9" s="685"/>
      <c r="S9" s="685"/>
      <c r="T9" s="685"/>
      <c r="U9" s="685"/>
      <c r="V9" s="685"/>
      <c r="W9" s="685"/>
      <c r="X9" s="685"/>
      <c r="Y9" s="685"/>
      <c r="Z9" s="685"/>
    </row>
    <row r="10" spans="1:26" ht="15">
      <c r="A10" s="45"/>
      <c r="B10" s="45"/>
      <c r="C10" s="45"/>
      <c r="D10" s="45"/>
      <c r="E10" s="685"/>
      <c r="F10" s="685"/>
      <c r="G10" s="685"/>
      <c r="H10" s="685"/>
      <c r="I10" s="685"/>
      <c r="J10" s="685"/>
      <c r="K10" s="685"/>
      <c r="L10" s="685"/>
      <c r="M10" s="685"/>
      <c r="N10" s="685"/>
      <c r="O10" s="685"/>
      <c r="P10" s="685"/>
      <c r="Q10" s="685"/>
      <c r="R10" s="685"/>
      <c r="S10" s="685"/>
      <c r="T10" s="685"/>
      <c r="U10" s="685"/>
      <c r="V10" s="685"/>
      <c r="W10" s="685"/>
      <c r="X10" s="685"/>
      <c r="Y10" s="685"/>
      <c r="Z10" s="685"/>
    </row>
    <row r="11" spans="1:26" ht="15">
      <c r="A11" s="45"/>
      <c r="B11" s="45" t="s">
        <v>855</v>
      </c>
      <c r="C11" s="45"/>
      <c r="D11" s="45"/>
      <c r="E11" s="685"/>
      <c r="F11" s="685"/>
      <c r="G11" s="685"/>
      <c r="H11" s="685"/>
      <c r="I11" s="685"/>
      <c r="J11" s="685"/>
      <c r="K11" s="685"/>
      <c r="L11" s="685"/>
      <c r="M11" s="685"/>
      <c r="N11" s="685"/>
      <c r="O11" s="685"/>
      <c r="P11" s="685"/>
      <c r="Q11" s="685"/>
      <c r="R11" s="685"/>
      <c r="S11" s="685"/>
      <c r="T11" s="685"/>
      <c r="U11" s="685"/>
      <c r="V11" s="685"/>
      <c r="W11" s="685"/>
      <c r="X11" s="685"/>
      <c r="Y11" s="685"/>
      <c r="Z11" s="685"/>
    </row>
    <row r="12" spans="1:26" ht="15">
      <c r="A12" s="45">
        <v>1</v>
      </c>
      <c r="B12" s="719" t="s">
        <v>856</v>
      </c>
      <c r="C12" s="682">
        <v>639062.5</v>
      </c>
      <c r="D12" s="634">
        <f>+C12*$I$80</f>
        <v>383437.5</v>
      </c>
      <c r="E12" s="634">
        <f>+C12-D12</f>
        <v>255625</v>
      </c>
      <c r="F12" s="682">
        <v>0</v>
      </c>
      <c r="G12" s="634">
        <f>+E12-F12</f>
        <v>255625</v>
      </c>
      <c r="H12" s="724">
        <v>0.14549999999999999</v>
      </c>
      <c r="I12" s="634">
        <f>+G12*H12</f>
        <v>37193.4375</v>
      </c>
      <c r="J12" s="720" t="s">
        <v>857</v>
      </c>
      <c r="K12" s="634">
        <v>0</v>
      </c>
      <c r="L12" s="634">
        <f>+I12-K12</f>
        <v>37193.4375</v>
      </c>
      <c r="M12" s="634">
        <f>+I12/10</f>
        <v>3719.34375</v>
      </c>
      <c r="N12" s="634">
        <f>+L12-M12</f>
        <v>33474.09375</v>
      </c>
      <c r="O12" s="634">
        <f>+I12/10</f>
        <v>3719.34375</v>
      </c>
      <c r="P12" s="634">
        <f>+N12-O12</f>
        <v>29754.75</v>
      </c>
      <c r="Q12" s="634">
        <f>+P12/5</f>
        <v>5950.95</v>
      </c>
      <c r="R12" s="634">
        <f>+P12-Q12</f>
        <v>23803.8</v>
      </c>
      <c r="S12" s="634">
        <f>+$P12/5</f>
        <v>5950.95</v>
      </c>
      <c r="T12" s="634">
        <f>+R12-S12</f>
        <v>17852.849999999999</v>
      </c>
      <c r="U12" s="634">
        <f>+$P12/5</f>
        <v>5950.95</v>
      </c>
      <c r="V12" s="634">
        <f>+T12-U12</f>
        <v>11901.899999999998</v>
      </c>
      <c r="W12" s="634">
        <f>+$P12/5</f>
        <v>5950.95</v>
      </c>
      <c r="X12" s="634">
        <f>+V12-W12</f>
        <v>5950.949999999998</v>
      </c>
      <c r="Y12" s="634">
        <f>+$P12/5</f>
        <v>5950.95</v>
      </c>
      <c r="Z12" s="634">
        <f>+X12-Y12</f>
        <v>0</v>
      </c>
    </row>
    <row r="13" spans="1:26" ht="15">
      <c r="A13" s="45">
        <f>+A12+1</f>
        <v>2</v>
      </c>
      <c r="B13" s="719" t="s">
        <v>858</v>
      </c>
      <c r="C13" s="683">
        <v>4709475</v>
      </c>
      <c r="D13" s="634">
        <f t="shared" ref="D13:D23" si="0">+C13*$I$80</f>
        <v>2825685</v>
      </c>
      <c r="E13" s="634">
        <f t="shared" ref="E13:E23" si="1">+C13-D13</f>
        <v>1883790</v>
      </c>
      <c r="F13" s="683">
        <v>0</v>
      </c>
      <c r="G13" s="634">
        <f t="shared" ref="G13:G23" si="2">+E13-F13</f>
        <v>1883790</v>
      </c>
      <c r="H13" s="724">
        <v>0.14549999999999999</v>
      </c>
      <c r="I13" s="634">
        <f t="shared" ref="I13:I22" si="3">+G13*H13</f>
        <v>274091.44500000001</v>
      </c>
      <c r="J13" s="721" t="s">
        <v>857</v>
      </c>
      <c r="K13" s="635">
        <v>0</v>
      </c>
      <c r="L13" s="342">
        <f t="shared" ref="L13:L23" si="4">+I13-K13</f>
        <v>274091.44500000001</v>
      </c>
      <c r="M13" s="634">
        <f t="shared" ref="M13:M23" si="5">+I13/10</f>
        <v>27409.144500000002</v>
      </c>
      <c r="N13" s="342">
        <f t="shared" ref="N13:N23" si="6">+L13-M13</f>
        <v>246682.30050000001</v>
      </c>
      <c r="O13" s="634">
        <f t="shared" ref="O13:O23" si="7">+I13/10</f>
        <v>27409.144500000002</v>
      </c>
      <c r="P13" s="342">
        <f t="shared" ref="P13:P23" si="8">+N13-O13</f>
        <v>219273.15600000002</v>
      </c>
      <c r="Q13" s="634">
        <f>+P13/5</f>
        <v>43854.631200000003</v>
      </c>
      <c r="R13" s="342">
        <f t="shared" ref="R13:R23" si="9">+P13-Q13</f>
        <v>175418.52480000001</v>
      </c>
      <c r="S13" s="634">
        <f t="shared" ref="S13:Y23" si="10">+$P13/5</f>
        <v>43854.631200000003</v>
      </c>
      <c r="T13" s="342">
        <f t="shared" ref="T13:T23" si="11">+R13-S13</f>
        <v>131563.89360000001</v>
      </c>
      <c r="U13" s="634">
        <f t="shared" si="10"/>
        <v>43854.631200000003</v>
      </c>
      <c r="V13" s="342">
        <f t="shared" ref="V13:V23" si="12">+T13-U13</f>
        <v>87709.262400000007</v>
      </c>
      <c r="W13" s="634">
        <f t="shared" si="10"/>
        <v>43854.631200000003</v>
      </c>
      <c r="X13" s="342">
        <f t="shared" ref="X13:X23" si="13">+V13-W13</f>
        <v>43854.631200000003</v>
      </c>
      <c r="Y13" s="634">
        <f t="shared" si="10"/>
        <v>43854.631200000003</v>
      </c>
      <c r="Z13" s="342">
        <f t="shared" ref="Z13:Z23" si="14">+X13-Y13</f>
        <v>0</v>
      </c>
    </row>
    <row r="14" spans="1:26" ht="15">
      <c r="A14" s="45">
        <f t="shared" ref="A14:A23" si="15">+A13+1</f>
        <v>3</v>
      </c>
      <c r="B14" s="719" t="s">
        <v>859</v>
      </c>
      <c r="C14" s="683">
        <v>936285</v>
      </c>
      <c r="D14" s="634">
        <f t="shared" si="0"/>
        <v>561771</v>
      </c>
      <c r="E14" s="634">
        <f t="shared" si="1"/>
        <v>374514</v>
      </c>
      <c r="F14" s="683">
        <v>0</v>
      </c>
      <c r="G14" s="634">
        <f t="shared" si="2"/>
        <v>374514</v>
      </c>
      <c r="H14" s="724">
        <v>0.14549999999999999</v>
      </c>
      <c r="I14" s="634">
        <f t="shared" si="3"/>
        <v>54491.786999999997</v>
      </c>
      <c r="J14" s="720" t="s">
        <v>857</v>
      </c>
      <c r="K14" s="635">
        <v>0</v>
      </c>
      <c r="L14" s="342">
        <f t="shared" si="4"/>
        <v>54491.786999999997</v>
      </c>
      <c r="M14" s="634">
        <f t="shared" si="5"/>
        <v>5449.1786999999995</v>
      </c>
      <c r="N14" s="342">
        <f t="shared" si="6"/>
        <v>49042.6083</v>
      </c>
      <c r="O14" s="634">
        <f t="shared" si="7"/>
        <v>5449.1786999999995</v>
      </c>
      <c r="P14" s="342">
        <f t="shared" si="8"/>
        <v>43593.429600000003</v>
      </c>
      <c r="Q14" s="634">
        <f t="shared" ref="Q14:Q23" si="16">+P14/5</f>
        <v>8718.6859199999999</v>
      </c>
      <c r="R14" s="342">
        <f t="shared" si="9"/>
        <v>34874.74368</v>
      </c>
      <c r="S14" s="634">
        <f t="shared" si="10"/>
        <v>8718.6859199999999</v>
      </c>
      <c r="T14" s="342">
        <f t="shared" si="11"/>
        <v>26156.05776</v>
      </c>
      <c r="U14" s="634">
        <f t="shared" si="10"/>
        <v>8718.6859199999999</v>
      </c>
      <c r="V14" s="342">
        <f t="shared" si="12"/>
        <v>17437.37184</v>
      </c>
      <c r="W14" s="634">
        <f t="shared" si="10"/>
        <v>8718.6859199999999</v>
      </c>
      <c r="X14" s="342">
        <f t="shared" si="13"/>
        <v>8718.6859199999999</v>
      </c>
      <c r="Y14" s="634">
        <f t="shared" si="10"/>
        <v>8718.6859199999999</v>
      </c>
      <c r="Z14" s="342">
        <f t="shared" si="14"/>
        <v>0</v>
      </c>
    </row>
    <row r="15" spans="1:26" ht="15">
      <c r="A15" s="45">
        <f t="shared" si="15"/>
        <v>4</v>
      </c>
      <c r="B15" s="719" t="s">
        <v>860</v>
      </c>
      <c r="C15" s="683">
        <v>-1766545</v>
      </c>
      <c r="D15" s="634">
        <f t="shared" si="0"/>
        <v>-1059927</v>
      </c>
      <c r="E15" s="634">
        <f t="shared" si="1"/>
        <v>-706618</v>
      </c>
      <c r="F15" s="683">
        <v>0</v>
      </c>
      <c r="G15" s="634">
        <f t="shared" si="2"/>
        <v>-706618</v>
      </c>
      <c r="H15" s="724">
        <v>0.14549999999999999</v>
      </c>
      <c r="I15" s="634">
        <f t="shared" si="3"/>
        <v>-102812.91899999999</v>
      </c>
      <c r="J15" s="721" t="s">
        <v>857</v>
      </c>
      <c r="K15" s="635">
        <v>0</v>
      </c>
      <c r="L15" s="342">
        <f t="shared" si="4"/>
        <v>-102812.91899999999</v>
      </c>
      <c r="M15" s="634">
        <f t="shared" si="5"/>
        <v>-10281.2919</v>
      </c>
      <c r="N15" s="342">
        <f t="shared" si="6"/>
        <v>-92531.627099999998</v>
      </c>
      <c r="O15" s="634">
        <f t="shared" si="7"/>
        <v>-10281.2919</v>
      </c>
      <c r="P15" s="342">
        <f t="shared" si="8"/>
        <v>-82250.335200000001</v>
      </c>
      <c r="Q15" s="634">
        <f t="shared" si="16"/>
        <v>-16450.067040000002</v>
      </c>
      <c r="R15" s="342">
        <f t="shared" si="9"/>
        <v>-65800.268160000007</v>
      </c>
      <c r="S15" s="634">
        <f t="shared" si="10"/>
        <v>-16450.067040000002</v>
      </c>
      <c r="T15" s="342">
        <f t="shared" si="11"/>
        <v>-49350.201120000005</v>
      </c>
      <c r="U15" s="634">
        <f t="shared" si="10"/>
        <v>-16450.067040000002</v>
      </c>
      <c r="V15" s="342">
        <f t="shared" si="12"/>
        <v>-32900.134080000003</v>
      </c>
      <c r="W15" s="634">
        <f t="shared" si="10"/>
        <v>-16450.067040000002</v>
      </c>
      <c r="X15" s="342">
        <f t="shared" si="13"/>
        <v>-16450.067040000002</v>
      </c>
      <c r="Y15" s="634">
        <f t="shared" si="10"/>
        <v>-16450.067040000002</v>
      </c>
      <c r="Z15" s="342">
        <f t="shared" si="14"/>
        <v>0</v>
      </c>
    </row>
    <row r="16" spans="1:26" ht="15">
      <c r="A16" s="45">
        <f t="shared" si="15"/>
        <v>5</v>
      </c>
      <c r="B16" s="719" t="s">
        <v>861</v>
      </c>
      <c r="C16" s="683">
        <v>1458445</v>
      </c>
      <c r="D16" s="634">
        <f t="shared" si="0"/>
        <v>875067</v>
      </c>
      <c r="E16" s="634">
        <f t="shared" si="1"/>
        <v>583378</v>
      </c>
      <c r="F16" s="683">
        <v>0</v>
      </c>
      <c r="G16" s="634">
        <f t="shared" si="2"/>
        <v>583378</v>
      </c>
      <c r="H16" s="724">
        <v>0.14549999999999999</v>
      </c>
      <c r="I16" s="634">
        <f t="shared" si="3"/>
        <v>84881.498999999996</v>
      </c>
      <c r="J16" s="720" t="s">
        <v>857</v>
      </c>
      <c r="K16" s="635">
        <v>0</v>
      </c>
      <c r="L16" s="342">
        <f t="shared" si="4"/>
        <v>84881.498999999996</v>
      </c>
      <c r="M16" s="634">
        <f t="shared" si="5"/>
        <v>8488.1499000000003</v>
      </c>
      <c r="N16" s="342">
        <f t="shared" si="6"/>
        <v>76393.349099999992</v>
      </c>
      <c r="O16" s="634">
        <f t="shared" si="7"/>
        <v>8488.1499000000003</v>
      </c>
      <c r="P16" s="342">
        <f t="shared" si="8"/>
        <v>67905.199199999988</v>
      </c>
      <c r="Q16" s="634">
        <f t="shared" si="16"/>
        <v>13581.039839999998</v>
      </c>
      <c r="R16" s="342">
        <f t="shared" si="9"/>
        <v>54324.159359999991</v>
      </c>
      <c r="S16" s="634">
        <f t="shared" si="10"/>
        <v>13581.039839999998</v>
      </c>
      <c r="T16" s="342">
        <f t="shared" si="11"/>
        <v>40743.119519999993</v>
      </c>
      <c r="U16" s="634">
        <f t="shared" si="10"/>
        <v>13581.039839999998</v>
      </c>
      <c r="V16" s="342">
        <f t="shared" si="12"/>
        <v>27162.079679999995</v>
      </c>
      <c r="W16" s="634">
        <f t="shared" si="10"/>
        <v>13581.039839999998</v>
      </c>
      <c r="X16" s="342">
        <f t="shared" si="13"/>
        <v>13581.039839999998</v>
      </c>
      <c r="Y16" s="634">
        <f t="shared" si="10"/>
        <v>13581.039839999998</v>
      </c>
      <c r="Z16" s="342">
        <f t="shared" si="14"/>
        <v>0</v>
      </c>
    </row>
    <row r="17" spans="1:26" ht="15">
      <c r="A17" s="45">
        <f t="shared" si="15"/>
        <v>6</v>
      </c>
      <c r="B17" s="719" t="s">
        <v>862</v>
      </c>
      <c r="C17" s="683">
        <v>937980</v>
      </c>
      <c r="D17" s="634">
        <f t="shared" si="0"/>
        <v>562788</v>
      </c>
      <c r="E17" s="634">
        <f t="shared" si="1"/>
        <v>375192</v>
      </c>
      <c r="F17" s="683">
        <v>0</v>
      </c>
      <c r="G17" s="634">
        <f t="shared" si="2"/>
        <v>375192</v>
      </c>
      <c r="H17" s="724">
        <v>0.14549999999999999</v>
      </c>
      <c r="I17" s="634">
        <f t="shared" si="3"/>
        <v>54590.435999999994</v>
      </c>
      <c r="J17" s="721" t="s">
        <v>857</v>
      </c>
      <c r="K17" s="635">
        <v>0</v>
      </c>
      <c r="L17" s="342">
        <f t="shared" si="4"/>
        <v>54590.435999999994</v>
      </c>
      <c r="M17" s="634">
        <f t="shared" si="5"/>
        <v>5459.0435999999991</v>
      </c>
      <c r="N17" s="342">
        <f t="shared" si="6"/>
        <v>49131.392399999997</v>
      </c>
      <c r="O17" s="634">
        <f t="shared" si="7"/>
        <v>5459.0435999999991</v>
      </c>
      <c r="P17" s="342">
        <f t="shared" si="8"/>
        <v>43672.3488</v>
      </c>
      <c r="Q17" s="634">
        <f t="shared" si="16"/>
        <v>8734.46976</v>
      </c>
      <c r="R17" s="342">
        <f t="shared" si="9"/>
        <v>34937.87904</v>
      </c>
      <c r="S17" s="634">
        <f t="shared" si="10"/>
        <v>8734.46976</v>
      </c>
      <c r="T17" s="342">
        <f t="shared" si="11"/>
        <v>26203.40928</v>
      </c>
      <c r="U17" s="634">
        <f t="shared" si="10"/>
        <v>8734.46976</v>
      </c>
      <c r="V17" s="342">
        <f t="shared" si="12"/>
        <v>17468.93952</v>
      </c>
      <c r="W17" s="634">
        <f t="shared" si="10"/>
        <v>8734.46976</v>
      </c>
      <c r="X17" s="342">
        <f t="shared" si="13"/>
        <v>8734.46976</v>
      </c>
      <c r="Y17" s="634">
        <f t="shared" si="10"/>
        <v>8734.46976</v>
      </c>
      <c r="Z17" s="342">
        <f t="shared" si="14"/>
        <v>0</v>
      </c>
    </row>
    <row r="18" spans="1:26" ht="15">
      <c r="A18" s="45">
        <f t="shared" si="15"/>
        <v>7</v>
      </c>
      <c r="B18" s="719" t="s">
        <v>863</v>
      </c>
      <c r="C18" s="683">
        <v>1166550</v>
      </c>
      <c r="D18" s="634">
        <f t="shared" si="0"/>
        <v>699930</v>
      </c>
      <c r="E18" s="634">
        <f t="shared" si="1"/>
        <v>466620</v>
      </c>
      <c r="F18" s="683">
        <v>0</v>
      </c>
      <c r="G18" s="634">
        <f t="shared" si="2"/>
        <v>466620</v>
      </c>
      <c r="H18" s="724">
        <v>0.14549999999999999</v>
      </c>
      <c r="I18" s="634">
        <f t="shared" si="3"/>
        <v>67893.209999999992</v>
      </c>
      <c r="J18" s="720" t="s">
        <v>857</v>
      </c>
      <c r="K18" s="635">
        <v>0</v>
      </c>
      <c r="L18" s="342">
        <f t="shared" si="4"/>
        <v>67893.209999999992</v>
      </c>
      <c r="M18" s="634">
        <f t="shared" si="5"/>
        <v>6789.320999999999</v>
      </c>
      <c r="N18" s="342">
        <f t="shared" si="6"/>
        <v>61103.888999999996</v>
      </c>
      <c r="O18" s="634">
        <f t="shared" si="7"/>
        <v>6789.320999999999</v>
      </c>
      <c r="P18" s="342">
        <f t="shared" si="8"/>
        <v>54314.567999999999</v>
      </c>
      <c r="Q18" s="634">
        <f t="shared" si="16"/>
        <v>10862.9136</v>
      </c>
      <c r="R18" s="342">
        <f t="shared" si="9"/>
        <v>43451.654399999999</v>
      </c>
      <c r="S18" s="634">
        <f t="shared" si="10"/>
        <v>10862.9136</v>
      </c>
      <c r="T18" s="342">
        <f t="shared" si="11"/>
        <v>32588.7408</v>
      </c>
      <c r="U18" s="634">
        <f t="shared" si="10"/>
        <v>10862.9136</v>
      </c>
      <c r="V18" s="342">
        <f t="shared" si="12"/>
        <v>21725.8272</v>
      </c>
      <c r="W18" s="634">
        <f t="shared" si="10"/>
        <v>10862.9136</v>
      </c>
      <c r="X18" s="342">
        <f t="shared" si="13"/>
        <v>10862.9136</v>
      </c>
      <c r="Y18" s="634">
        <f t="shared" si="10"/>
        <v>10862.9136</v>
      </c>
      <c r="Z18" s="342">
        <f t="shared" si="14"/>
        <v>0</v>
      </c>
    </row>
    <row r="19" spans="1:26" ht="15">
      <c r="A19" s="45">
        <f t="shared" si="15"/>
        <v>8</v>
      </c>
      <c r="B19" s="719" t="s">
        <v>864</v>
      </c>
      <c r="C19" s="683">
        <v>369007.5</v>
      </c>
      <c r="D19" s="634">
        <f t="shared" si="0"/>
        <v>221404.5</v>
      </c>
      <c r="E19" s="634">
        <f t="shared" si="1"/>
        <v>147603</v>
      </c>
      <c r="F19" s="683">
        <v>0</v>
      </c>
      <c r="G19" s="634">
        <f t="shared" si="2"/>
        <v>147603</v>
      </c>
      <c r="H19" s="724">
        <v>0.14180000000000001</v>
      </c>
      <c r="I19" s="634">
        <f t="shared" si="3"/>
        <v>20930.1054</v>
      </c>
      <c r="J19" s="721" t="s">
        <v>857</v>
      </c>
      <c r="K19" s="635">
        <v>0</v>
      </c>
      <c r="L19" s="342">
        <f t="shared" si="4"/>
        <v>20930.1054</v>
      </c>
      <c r="M19" s="634">
        <f t="shared" si="5"/>
        <v>2093.0105400000002</v>
      </c>
      <c r="N19" s="342">
        <f t="shared" si="6"/>
        <v>18837.094860000001</v>
      </c>
      <c r="O19" s="634">
        <f t="shared" si="7"/>
        <v>2093.0105400000002</v>
      </c>
      <c r="P19" s="342">
        <f t="shared" si="8"/>
        <v>16744.084320000002</v>
      </c>
      <c r="Q19" s="634">
        <f t="shared" si="16"/>
        <v>3348.8168640000004</v>
      </c>
      <c r="R19" s="342">
        <f t="shared" si="9"/>
        <v>13395.267456000001</v>
      </c>
      <c r="S19" s="634">
        <f t="shared" si="10"/>
        <v>3348.8168640000004</v>
      </c>
      <c r="T19" s="342">
        <f t="shared" si="11"/>
        <v>10046.450592000001</v>
      </c>
      <c r="U19" s="634">
        <f t="shared" si="10"/>
        <v>3348.8168640000004</v>
      </c>
      <c r="V19" s="342">
        <f t="shared" si="12"/>
        <v>6697.6337280000007</v>
      </c>
      <c r="W19" s="634">
        <f t="shared" si="10"/>
        <v>3348.8168640000004</v>
      </c>
      <c r="X19" s="342">
        <f t="shared" si="13"/>
        <v>3348.8168640000004</v>
      </c>
      <c r="Y19" s="634">
        <f t="shared" si="10"/>
        <v>3348.8168640000004</v>
      </c>
      <c r="Z19" s="342">
        <f t="shared" si="14"/>
        <v>0</v>
      </c>
    </row>
    <row r="20" spans="1:26" ht="15">
      <c r="A20" s="45">
        <f t="shared" si="15"/>
        <v>9</v>
      </c>
      <c r="B20" s="719" t="s">
        <v>865</v>
      </c>
      <c r="C20" s="683">
        <v>0</v>
      </c>
      <c r="D20" s="634">
        <f t="shared" si="0"/>
        <v>0</v>
      </c>
      <c r="E20" s="634">
        <f t="shared" si="1"/>
        <v>0</v>
      </c>
      <c r="F20" s="683">
        <v>0</v>
      </c>
      <c r="G20" s="634">
        <f t="shared" si="2"/>
        <v>0</v>
      </c>
      <c r="H20" s="724">
        <v>0</v>
      </c>
      <c r="I20" s="634">
        <f t="shared" si="3"/>
        <v>0</v>
      </c>
      <c r="J20" s="720" t="s">
        <v>857</v>
      </c>
      <c r="K20" s="635">
        <v>0</v>
      </c>
      <c r="L20" s="342">
        <f t="shared" si="4"/>
        <v>0</v>
      </c>
      <c r="M20" s="634">
        <f t="shared" si="5"/>
        <v>0</v>
      </c>
      <c r="N20" s="342">
        <f t="shared" si="6"/>
        <v>0</v>
      </c>
      <c r="O20" s="634">
        <f t="shared" si="7"/>
        <v>0</v>
      </c>
      <c r="P20" s="342">
        <f t="shared" si="8"/>
        <v>0</v>
      </c>
      <c r="Q20" s="634">
        <f t="shared" si="16"/>
        <v>0</v>
      </c>
      <c r="R20" s="342">
        <f t="shared" si="9"/>
        <v>0</v>
      </c>
      <c r="S20" s="634">
        <f t="shared" si="10"/>
        <v>0</v>
      </c>
      <c r="T20" s="342">
        <f t="shared" si="11"/>
        <v>0</v>
      </c>
      <c r="U20" s="634">
        <f t="shared" si="10"/>
        <v>0</v>
      </c>
      <c r="V20" s="342">
        <f t="shared" si="12"/>
        <v>0</v>
      </c>
      <c r="W20" s="634">
        <f t="shared" si="10"/>
        <v>0</v>
      </c>
      <c r="X20" s="342">
        <f t="shared" si="13"/>
        <v>0</v>
      </c>
      <c r="Y20" s="634">
        <f t="shared" si="10"/>
        <v>0</v>
      </c>
      <c r="Z20" s="342">
        <f t="shared" si="14"/>
        <v>0</v>
      </c>
    </row>
    <row r="21" spans="1:26" ht="17.45" customHeight="1">
      <c r="A21" s="45">
        <f t="shared" si="15"/>
        <v>10</v>
      </c>
      <c r="B21" s="719" t="s">
        <v>866</v>
      </c>
      <c r="C21" s="683">
        <v>1288335</v>
      </c>
      <c r="D21" s="634">
        <f t="shared" si="0"/>
        <v>773001</v>
      </c>
      <c r="E21" s="634">
        <f t="shared" si="1"/>
        <v>515334</v>
      </c>
      <c r="F21" s="683">
        <v>0</v>
      </c>
      <c r="G21" s="634">
        <f t="shared" si="2"/>
        <v>515334</v>
      </c>
      <c r="H21" s="724">
        <v>0</v>
      </c>
      <c r="I21" s="634">
        <f t="shared" si="3"/>
        <v>0</v>
      </c>
      <c r="J21" s="721" t="s">
        <v>857</v>
      </c>
      <c r="K21" s="635">
        <v>0</v>
      </c>
      <c r="L21" s="342">
        <f t="shared" si="4"/>
        <v>0</v>
      </c>
      <c r="M21" s="634">
        <f t="shared" si="5"/>
        <v>0</v>
      </c>
      <c r="N21" s="342">
        <f t="shared" si="6"/>
        <v>0</v>
      </c>
      <c r="O21" s="634">
        <f t="shared" si="7"/>
        <v>0</v>
      </c>
      <c r="P21" s="342">
        <f t="shared" si="8"/>
        <v>0</v>
      </c>
      <c r="Q21" s="634">
        <f t="shared" si="16"/>
        <v>0</v>
      </c>
      <c r="R21" s="342">
        <f t="shared" si="9"/>
        <v>0</v>
      </c>
      <c r="S21" s="634">
        <f t="shared" si="10"/>
        <v>0</v>
      </c>
      <c r="T21" s="342">
        <f t="shared" si="11"/>
        <v>0</v>
      </c>
      <c r="U21" s="634">
        <f t="shared" si="10"/>
        <v>0</v>
      </c>
      <c r="V21" s="342">
        <f t="shared" si="12"/>
        <v>0</v>
      </c>
      <c r="W21" s="634">
        <f t="shared" si="10"/>
        <v>0</v>
      </c>
      <c r="X21" s="342">
        <f t="shared" si="13"/>
        <v>0</v>
      </c>
      <c r="Y21" s="634">
        <f t="shared" si="10"/>
        <v>0</v>
      </c>
      <c r="Z21" s="342">
        <f t="shared" si="14"/>
        <v>0</v>
      </c>
    </row>
    <row r="22" spans="1:26" ht="15">
      <c r="A22" s="45">
        <f t="shared" si="15"/>
        <v>11</v>
      </c>
      <c r="B22" s="719" t="s">
        <v>867</v>
      </c>
      <c r="C22" s="683">
        <v>-224000</v>
      </c>
      <c r="D22" s="634">
        <f t="shared" si="0"/>
        <v>-134400</v>
      </c>
      <c r="E22" s="634">
        <f t="shared" si="1"/>
        <v>-89600</v>
      </c>
      <c r="F22" s="683">
        <v>0</v>
      </c>
      <c r="G22" s="634">
        <f t="shared" si="2"/>
        <v>-89600</v>
      </c>
      <c r="H22" s="724">
        <v>0.14549999999999999</v>
      </c>
      <c r="I22" s="634">
        <f t="shared" si="3"/>
        <v>-13036.8</v>
      </c>
      <c r="J22" s="720" t="s">
        <v>857</v>
      </c>
      <c r="K22" s="635">
        <v>0</v>
      </c>
      <c r="L22" s="342">
        <f t="shared" si="4"/>
        <v>-13036.8</v>
      </c>
      <c r="M22" s="634">
        <f t="shared" si="5"/>
        <v>-1303.6799999999998</v>
      </c>
      <c r="N22" s="342">
        <f t="shared" si="6"/>
        <v>-11733.119999999999</v>
      </c>
      <c r="O22" s="634">
        <f t="shared" si="7"/>
        <v>-1303.6799999999998</v>
      </c>
      <c r="P22" s="342">
        <f t="shared" si="8"/>
        <v>-10429.439999999999</v>
      </c>
      <c r="Q22" s="634">
        <f t="shared" si="16"/>
        <v>-2085.8879999999999</v>
      </c>
      <c r="R22" s="342">
        <f t="shared" si="9"/>
        <v>-8343.5519999999997</v>
      </c>
      <c r="S22" s="634">
        <f t="shared" si="10"/>
        <v>-2085.8879999999999</v>
      </c>
      <c r="T22" s="342">
        <f t="shared" si="11"/>
        <v>-6257.6639999999998</v>
      </c>
      <c r="U22" s="634">
        <f t="shared" si="10"/>
        <v>-2085.8879999999999</v>
      </c>
      <c r="V22" s="342">
        <f t="shared" si="12"/>
        <v>-4171.7759999999998</v>
      </c>
      <c r="W22" s="634">
        <f t="shared" si="10"/>
        <v>-2085.8879999999999</v>
      </c>
      <c r="X22" s="342">
        <f t="shared" si="13"/>
        <v>-2085.8879999999999</v>
      </c>
      <c r="Y22" s="634">
        <f t="shared" si="10"/>
        <v>-2085.8879999999999</v>
      </c>
      <c r="Z22" s="342">
        <f t="shared" si="14"/>
        <v>0</v>
      </c>
    </row>
    <row r="23" spans="1:26" ht="15">
      <c r="A23" s="45">
        <f t="shared" si="15"/>
        <v>12</v>
      </c>
      <c r="B23" s="719" t="s">
        <v>868</v>
      </c>
      <c r="C23" s="684">
        <v>245590</v>
      </c>
      <c r="D23" s="657">
        <f t="shared" si="0"/>
        <v>147354</v>
      </c>
      <c r="E23" s="657">
        <f t="shared" si="1"/>
        <v>98236</v>
      </c>
      <c r="F23" s="684">
        <v>0</v>
      </c>
      <c r="G23" s="657">
        <f t="shared" si="2"/>
        <v>98236</v>
      </c>
      <c r="H23" s="724" t="s">
        <v>869</v>
      </c>
      <c r="I23" s="656">
        <v>15523</v>
      </c>
      <c r="J23" s="721" t="s">
        <v>857</v>
      </c>
      <c r="K23" s="656">
        <v>0</v>
      </c>
      <c r="L23" s="722">
        <f t="shared" si="4"/>
        <v>15523</v>
      </c>
      <c r="M23" s="657">
        <f t="shared" si="5"/>
        <v>1552.3</v>
      </c>
      <c r="N23" s="722">
        <f t="shared" si="6"/>
        <v>13970.7</v>
      </c>
      <c r="O23" s="657">
        <f t="shared" si="7"/>
        <v>1552.3</v>
      </c>
      <c r="P23" s="722">
        <f t="shared" si="8"/>
        <v>12418.400000000001</v>
      </c>
      <c r="Q23" s="657">
        <f t="shared" si="16"/>
        <v>2483.6800000000003</v>
      </c>
      <c r="R23" s="722">
        <f t="shared" si="9"/>
        <v>9934.7200000000012</v>
      </c>
      <c r="S23" s="657">
        <f t="shared" si="10"/>
        <v>2483.6800000000003</v>
      </c>
      <c r="T23" s="722">
        <f t="shared" si="11"/>
        <v>7451.0400000000009</v>
      </c>
      <c r="U23" s="657">
        <f t="shared" si="10"/>
        <v>2483.6800000000003</v>
      </c>
      <c r="V23" s="722">
        <f t="shared" si="12"/>
        <v>4967.3600000000006</v>
      </c>
      <c r="W23" s="657">
        <f t="shared" si="10"/>
        <v>2483.6800000000003</v>
      </c>
      <c r="X23" s="722">
        <f t="shared" si="13"/>
        <v>2483.6800000000003</v>
      </c>
      <c r="Y23" s="657">
        <f t="shared" si="10"/>
        <v>2483.6800000000003</v>
      </c>
      <c r="Z23" s="722">
        <f t="shared" si="14"/>
        <v>0</v>
      </c>
    </row>
    <row r="24" spans="1:26" ht="15">
      <c r="A24" s="45">
        <f>+A23+1</f>
        <v>13</v>
      </c>
      <c r="B24" s="442" t="s">
        <v>870</v>
      </c>
      <c r="C24" s="621">
        <f>+SUM(C12:C23)</f>
        <v>9760185</v>
      </c>
      <c r="D24" s="621">
        <f>+SUM(D12:D23)</f>
        <v>5856111</v>
      </c>
      <c r="E24" s="621">
        <f>+SUM(E12:E23)</f>
        <v>3904074</v>
      </c>
      <c r="F24" s="621">
        <f>+SUM(F12:F23)</f>
        <v>0</v>
      </c>
      <c r="G24" s="621">
        <f>+SUM(G12:G23)</f>
        <v>3904074</v>
      </c>
      <c r="H24" s="443"/>
      <c r="I24" s="621">
        <f t="shared" ref="I24:Z24" si="17">+SUM(I12:I23)</f>
        <v>493745.2009</v>
      </c>
      <c r="J24" s="621"/>
      <c r="K24" s="621">
        <f t="shared" si="17"/>
        <v>0</v>
      </c>
      <c r="L24" s="621">
        <f t="shared" si="17"/>
        <v>493745.2009</v>
      </c>
      <c r="M24" s="621">
        <f t="shared" si="17"/>
        <v>49374.520089999998</v>
      </c>
      <c r="N24" s="621">
        <f t="shared" si="17"/>
        <v>444370.68081000005</v>
      </c>
      <c r="O24" s="635">
        <f t="shared" si="17"/>
        <v>49374.520089999998</v>
      </c>
      <c r="P24" s="621">
        <f t="shared" si="17"/>
        <v>394996.16071999999</v>
      </c>
      <c r="Q24" s="635">
        <f t="shared" si="17"/>
        <v>78999.23214399998</v>
      </c>
      <c r="R24" s="621">
        <f t="shared" si="17"/>
        <v>315996.92857599992</v>
      </c>
      <c r="S24" s="635">
        <f t="shared" si="17"/>
        <v>78999.23214399998</v>
      </c>
      <c r="T24" s="621">
        <f t="shared" si="17"/>
        <v>236997.69643200003</v>
      </c>
      <c r="U24" s="635">
        <f t="shared" si="17"/>
        <v>78999.23214399998</v>
      </c>
      <c r="V24" s="621">
        <f t="shared" si="17"/>
        <v>157998.46428799996</v>
      </c>
      <c r="W24" s="635">
        <f t="shared" si="17"/>
        <v>78999.23214399998</v>
      </c>
      <c r="X24" s="621">
        <f t="shared" si="17"/>
        <v>78999.23214399998</v>
      </c>
      <c r="Y24" s="635">
        <f t="shared" si="17"/>
        <v>78999.23214399998</v>
      </c>
      <c r="Z24" s="621">
        <f t="shared" si="17"/>
        <v>0</v>
      </c>
    </row>
    <row r="25" spans="1:26" ht="17.25">
      <c r="A25" s="45"/>
      <c r="B25" s="444"/>
      <c r="C25" s="622"/>
      <c r="D25" s="622"/>
      <c r="E25" s="622"/>
      <c r="F25" s="622"/>
      <c r="G25" s="622"/>
      <c r="H25" s="443"/>
      <c r="I25" s="659"/>
      <c r="J25" s="659"/>
      <c r="K25" s="659"/>
      <c r="L25" s="659"/>
      <c r="M25" s="659"/>
      <c r="N25" s="659"/>
      <c r="O25" s="656"/>
      <c r="P25" s="659"/>
      <c r="Q25" s="656"/>
      <c r="R25" s="659"/>
      <c r="S25" s="656"/>
      <c r="T25" s="659"/>
      <c r="U25" s="656"/>
      <c r="V25" s="659"/>
      <c r="W25" s="656"/>
      <c r="X25" s="659"/>
      <c r="Y25" s="656"/>
      <c r="Z25" s="659"/>
    </row>
    <row r="26" spans="1:26" ht="17.25">
      <c r="A26" s="45"/>
      <c r="B26" s="442" t="s">
        <v>871</v>
      </c>
      <c r="C26" s="622"/>
      <c r="D26" s="622"/>
      <c r="E26" s="622"/>
      <c r="F26" s="622"/>
      <c r="G26" s="622"/>
      <c r="H26" s="443"/>
      <c r="I26" s="659"/>
      <c r="J26" s="659"/>
      <c r="K26" s="659"/>
      <c r="L26" s="659"/>
      <c r="M26" s="659"/>
      <c r="N26" s="659"/>
      <c r="O26" s="656"/>
      <c r="P26" s="659"/>
      <c r="Q26" s="656"/>
      <c r="R26" s="659"/>
      <c r="S26" s="656"/>
      <c r="T26" s="659"/>
      <c r="U26" s="656"/>
      <c r="V26" s="659"/>
      <c r="W26" s="656"/>
      <c r="X26" s="659"/>
      <c r="Y26" s="656"/>
      <c r="Z26" s="659"/>
    </row>
    <row r="27" spans="1:26" ht="15">
      <c r="A27" s="45">
        <f>+A24+1</f>
        <v>14</v>
      </c>
      <c r="B27" s="723" t="s">
        <v>872</v>
      </c>
      <c r="C27" s="683">
        <v>0</v>
      </c>
      <c r="D27" s="634">
        <f t="shared" ref="D27:D28" si="18">+C27*$I$80</f>
        <v>0</v>
      </c>
      <c r="E27" s="634">
        <f t="shared" ref="E27:E28" si="19">+C27-D27</f>
        <v>0</v>
      </c>
      <c r="F27" s="683">
        <v>0</v>
      </c>
      <c r="G27" s="634">
        <f>+E27-F27</f>
        <v>0</v>
      </c>
      <c r="H27" s="724">
        <v>0</v>
      </c>
      <c r="I27" s="634">
        <f t="shared" ref="I27" si="20">+G27*H27</f>
        <v>0</v>
      </c>
      <c r="J27" s="683"/>
      <c r="K27" s="621">
        <v>0</v>
      </c>
      <c r="L27" s="342">
        <f>+I27-K27</f>
        <v>0</v>
      </c>
      <c r="M27" s="581">
        <v>0</v>
      </c>
      <c r="N27" s="342">
        <f>+K27-M27</f>
        <v>0</v>
      </c>
      <c r="O27" s="581">
        <v>0</v>
      </c>
      <c r="P27" s="342">
        <f>+M27-O27</f>
        <v>0</v>
      </c>
      <c r="Q27" s="581">
        <v>0</v>
      </c>
      <c r="R27" s="342">
        <f>+O27-Q27</f>
        <v>0</v>
      </c>
      <c r="S27" s="682">
        <v>0</v>
      </c>
      <c r="T27" s="342">
        <f>+Q27-S27</f>
        <v>0</v>
      </c>
      <c r="U27" s="682">
        <v>0</v>
      </c>
      <c r="V27" s="342">
        <f t="shared" ref="V27:V28" si="21">+T27-U27</f>
        <v>0</v>
      </c>
      <c r="W27" s="682">
        <v>0</v>
      </c>
      <c r="X27" s="342">
        <f>+U27-W27</f>
        <v>0</v>
      </c>
      <c r="Y27" s="634">
        <f t="shared" ref="Y27:Y28" si="22">+$P27/5</f>
        <v>0</v>
      </c>
      <c r="Z27" s="342">
        <f>+W27-Y27</f>
        <v>0</v>
      </c>
    </row>
    <row r="28" spans="1:26" ht="15">
      <c r="A28" s="45">
        <f>+A27+1</f>
        <v>15</v>
      </c>
      <c r="B28" s="723" t="s">
        <v>872</v>
      </c>
      <c r="C28" s="684">
        <v>0</v>
      </c>
      <c r="D28" s="657">
        <f t="shared" si="18"/>
        <v>0</v>
      </c>
      <c r="E28" s="657">
        <f t="shared" si="19"/>
        <v>0</v>
      </c>
      <c r="F28" s="684">
        <v>0</v>
      </c>
      <c r="G28" s="657">
        <f>+E28-F28</f>
        <v>0</v>
      </c>
      <c r="H28" s="725" t="s">
        <v>869</v>
      </c>
      <c r="I28" s="656">
        <v>0</v>
      </c>
      <c r="J28" s="683"/>
      <c r="K28" s="659">
        <v>0</v>
      </c>
      <c r="L28" s="722">
        <f>+I28-K28</f>
        <v>0</v>
      </c>
      <c r="M28" s="726">
        <v>0</v>
      </c>
      <c r="N28" s="722">
        <f>+K28-M28</f>
        <v>0</v>
      </c>
      <c r="O28" s="726">
        <v>0</v>
      </c>
      <c r="P28" s="722">
        <f>+M28-O28</f>
        <v>0</v>
      </c>
      <c r="Q28" s="726">
        <v>0</v>
      </c>
      <c r="R28" s="722">
        <f>+O28-Q28</f>
        <v>0</v>
      </c>
      <c r="S28" s="727">
        <v>0</v>
      </c>
      <c r="T28" s="722">
        <f>+Q28-S28</f>
        <v>0</v>
      </c>
      <c r="U28" s="727">
        <v>0</v>
      </c>
      <c r="V28" s="722">
        <f t="shared" si="21"/>
        <v>0</v>
      </c>
      <c r="W28" s="727">
        <v>0</v>
      </c>
      <c r="X28" s="722">
        <f>+U28-W28</f>
        <v>0</v>
      </c>
      <c r="Y28" s="657">
        <f t="shared" si="22"/>
        <v>0</v>
      </c>
      <c r="Z28" s="722">
        <f>+W28-Y28</f>
        <v>0</v>
      </c>
    </row>
    <row r="29" spans="1:26" ht="15">
      <c r="A29" s="45">
        <f>+A28+1</f>
        <v>16</v>
      </c>
      <c r="B29" s="445" t="s">
        <v>873</v>
      </c>
      <c r="C29" s="621">
        <f>+C27+C28</f>
        <v>0</v>
      </c>
      <c r="D29" s="621">
        <f>+D27+D28</f>
        <v>0</v>
      </c>
      <c r="E29" s="621">
        <f>+E27+E28</f>
        <v>0</v>
      </c>
      <c r="F29" s="621">
        <f>+F27+F28</f>
        <v>0</v>
      </c>
      <c r="G29" s="621">
        <f>+G27+G28</f>
        <v>0</v>
      </c>
      <c r="H29" s="36"/>
      <c r="I29" s="621">
        <f>+I27+I28</f>
        <v>0</v>
      </c>
      <c r="J29" s="621"/>
      <c r="K29" s="621">
        <f t="shared" ref="K29:V29" si="23">+K27+K28</f>
        <v>0</v>
      </c>
      <c r="L29" s="342">
        <f t="shared" si="23"/>
        <v>0</v>
      </c>
      <c r="M29" s="342">
        <f t="shared" si="23"/>
        <v>0</v>
      </c>
      <c r="N29" s="342">
        <f t="shared" si="23"/>
        <v>0</v>
      </c>
      <c r="O29" s="342">
        <f t="shared" si="23"/>
        <v>0</v>
      </c>
      <c r="P29" s="342">
        <f t="shared" si="23"/>
        <v>0</v>
      </c>
      <c r="Q29" s="342">
        <f t="shared" si="23"/>
        <v>0</v>
      </c>
      <c r="R29" s="342">
        <f t="shared" si="23"/>
        <v>0</v>
      </c>
      <c r="S29" s="342">
        <f t="shared" si="23"/>
        <v>0</v>
      </c>
      <c r="T29" s="342">
        <f t="shared" si="23"/>
        <v>0</v>
      </c>
      <c r="U29" s="342">
        <f t="shared" si="23"/>
        <v>0</v>
      </c>
      <c r="V29" s="342">
        <f t="shared" si="23"/>
        <v>0</v>
      </c>
      <c r="W29" s="342">
        <f>+W27+W28</f>
        <v>0</v>
      </c>
      <c r="X29" s="342">
        <f>+X27+X28</f>
        <v>0</v>
      </c>
      <c r="Y29" s="342">
        <f>+Y27+Y28</f>
        <v>0</v>
      </c>
      <c r="Z29" s="342">
        <f>+Z27+Z28</f>
        <v>0</v>
      </c>
    </row>
    <row r="30" spans="1:26" ht="15">
      <c r="A30" s="45"/>
      <c r="B30" s="445"/>
      <c r="C30" s="621"/>
      <c r="D30" s="621"/>
      <c r="E30" s="621"/>
      <c r="F30" s="621"/>
      <c r="G30" s="621"/>
      <c r="H30" s="36"/>
      <c r="I30" s="621"/>
      <c r="J30" s="621"/>
      <c r="K30" s="621"/>
      <c r="L30" s="342"/>
      <c r="M30" s="342"/>
      <c r="N30" s="342"/>
      <c r="O30" s="342"/>
      <c r="P30" s="342"/>
      <c r="Q30" s="342"/>
      <c r="R30" s="342"/>
      <c r="S30" s="342"/>
      <c r="T30" s="342"/>
      <c r="U30" s="342"/>
      <c r="V30" s="342"/>
      <c r="W30" s="342"/>
      <c r="X30" s="342"/>
      <c r="Y30" s="342"/>
      <c r="Z30" s="342"/>
    </row>
    <row r="31" spans="1:26" ht="15">
      <c r="A31" s="45"/>
      <c r="B31" s="445" t="s">
        <v>874</v>
      </c>
      <c r="C31" s="621"/>
      <c r="D31" s="621"/>
      <c r="E31" s="621"/>
      <c r="F31" s="621"/>
      <c r="G31" s="621"/>
      <c r="H31" s="36"/>
      <c r="I31" s="621"/>
      <c r="J31" s="621"/>
      <c r="K31" s="621"/>
      <c r="L31" s="342"/>
      <c r="M31" s="342"/>
      <c r="N31" s="342"/>
      <c r="O31" s="342"/>
      <c r="P31" s="342"/>
      <c r="Q31" s="342"/>
      <c r="R31" s="342"/>
      <c r="S31" s="342"/>
      <c r="T31" s="342"/>
      <c r="U31" s="342"/>
      <c r="V31" s="342"/>
      <c r="W31" s="342"/>
      <c r="X31" s="342"/>
      <c r="Y31" s="342"/>
      <c r="Z31" s="342"/>
    </row>
    <row r="32" spans="1:26" ht="15">
      <c r="A32" s="45">
        <f>+A29+1</f>
        <v>17</v>
      </c>
      <c r="B32" s="723" t="s">
        <v>872</v>
      </c>
      <c r="C32" s="635">
        <v>0</v>
      </c>
      <c r="D32" s="634">
        <f t="shared" ref="D32:D35" si="24">+C32*$I$80</f>
        <v>0</v>
      </c>
      <c r="E32" s="634">
        <f t="shared" ref="E32:E35" si="25">+C32-D32</f>
        <v>0</v>
      </c>
      <c r="F32" s="683">
        <v>0</v>
      </c>
      <c r="G32" s="635">
        <f>+E32-F32</f>
        <v>0</v>
      </c>
      <c r="H32" s="724">
        <v>0</v>
      </c>
      <c r="I32" s="634">
        <f t="shared" ref="I32:I34" si="26">+G32*H32</f>
        <v>0</v>
      </c>
      <c r="J32" s="683"/>
      <c r="K32" s="621">
        <v>0</v>
      </c>
      <c r="L32" s="342">
        <f t="shared" ref="L32:L35" si="27">+I32-K32</f>
        <v>0</v>
      </c>
      <c r="M32" s="581">
        <v>0</v>
      </c>
      <c r="N32" s="342">
        <f t="shared" ref="N32:N35" si="28">+L32-M32</f>
        <v>0</v>
      </c>
      <c r="O32" s="581">
        <v>0</v>
      </c>
      <c r="P32" s="342">
        <f t="shared" ref="P32:P35" si="29">+N32-O32</f>
        <v>0</v>
      </c>
      <c r="Q32" s="581">
        <v>0</v>
      </c>
      <c r="R32" s="342">
        <f t="shared" ref="R32:R35" si="30">+P32-Q32</f>
        <v>0</v>
      </c>
      <c r="S32" s="581">
        <v>0</v>
      </c>
      <c r="T32" s="342">
        <f t="shared" ref="T32:T35" si="31">+R32-S32</f>
        <v>0</v>
      </c>
      <c r="U32" s="581">
        <v>0</v>
      </c>
      <c r="V32" s="342">
        <f t="shared" ref="V32:V35" si="32">+T32-U32</f>
        <v>0</v>
      </c>
      <c r="W32" s="581">
        <v>0</v>
      </c>
      <c r="X32" s="342">
        <f t="shared" ref="X32:X35" si="33">+V32-W32</f>
        <v>0</v>
      </c>
      <c r="Y32" s="634">
        <f>+$P32/5</f>
        <v>0</v>
      </c>
      <c r="Z32" s="342">
        <f t="shared" ref="Z32:Z35" si="34">+X32-Y32</f>
        <v>0</v>
      </c>
    </row>
    <row r="33" spans="1:26" ht="15">
      <c r="A33" s="45">
        <f>+A32+1</f>
        <v>18</v>
      </c>
      <c r="B33" s="723" t="s">
        <v>872</v>
      </c>
      <c r="C33" s="635">
        <v>0</v>
      </c>
      <c r="D33" s="634">
        <f t="shared" si="24"/>
        <v>0</v>
      </c>
      <c r="E33" s="634">
        <f t="shared" si="25"/>
        <v>0</v>
      </c>
      <c r="F33" s="683">
        <v>0</v>
      </c>
      <c r="G33" s="635">
        <f t="shared" ref="G33:G35" si="35">+E33-F33</f>
        <v>0</v>
      </c>
      <c r="H33" s="724">
        <v>0</v>
      </c>
      <c r="I33" s="634">
        <f t="shared" si="26"/>
        <v>0</v>
      </c>
      <c r="J33" s="683"/>
      <c r="K33" s="621">
        <v>0</v>
      </c>
      <c r="L33" s="342">
        <f t="shared" si="27"/>
        <v>0</v>
      </c>
      <c r="M33" s="581">
        <v>0</v>
      </c>
      <c r="N33" s="342">
        <f t="shared" si="28"/>
        <v>0</v>
      </c>
      <c r="O33" s="581">
        <v>0</v>
      </c>
      <c r="P33" s="342">
        <f t="shared" si="29"/>
        <v>0</v>
      </c>
      <c r="Q33" s="581">
        <v>0</v>
      </c>
      <c r="R33" s="342">
        <f t="shared" si="30"/>
        <v>0</v>
      </c>
      <c r="S33" s="581">
        <v>0</v>
      </c>
      <c r="T33" s="342">
        <f t="shared" si="31"/>
        <v>0</v>
      </c>
      <c r="U33" s="581">
        <v>0</v>
      </c>
      <c r="V33" s="342">
        <f t="shared" si="32"/>
        <v>0</v>
      </c>
      <c r="W33" s="581">
        <v>0</v>
      </c>
      <c r="X33" s="342">
        <f t="shared" si="33"/>
        <v>0</v>
      </c>
      <c r="Y33" s="634">
        <f t="shared" ref="Y33:Y35" si="36">+$P33/5</f>
        <v>0</v>
      </c>
      <c r="Z33" s="342">
        <f t="shared" si="34"/>
        <v>0</v>
      </c>
    </row>
    <row r="34" spans="1:26" ht="15">
      <c r="A34" s="45">
        <f>+A33+1</f>
        <v>19</v>
      </c>
      <c r="B34" s="723" t="s">
        <v>872</v>
      </c>
      <c r="C34" s="635">
        <v>0</v>
      </c>
      <c r="D34" s="634">
        <f t="shared" si="24"/>
        <v>0</v>
      </c>
      <c r="E34" s="634">
        <f t="shared" si="25"/>
        <v>0</v>
      </c>
      <c r="F34" s="683">
        <v>0</v>
      </c>
      <c r="G34" s="635">
        <f t="shared" si="35"/>
        <v>0</v>
      </c>
      <c r="H34" s="724">
        <v>0</v>
      </c>
      <c r="I34" s="634">
        <f t="shared" si="26"/>
        <v>0</v>
      </c>
      <c r="J34" s="683"/>
      <c r="K34" s="621">
        <v>0</v>
      </c>
      <c r="L34" s="342">
        <f t="shared" si="27"/>
        <v>0</v>
      </c>
      <c r="M34" s="581">
        <v>0</v>
      </c>
      <c r="N34" s="342">
        <f t="shared" si="28"/>
        <v>0</v>
      </c>
      <c r="O34" s="581">
        <v>0</v>
      </c>
      <c r="P34" s="342">
        <f t="shared" si="29"/>
        <v>0</v>
      </c>
      <c r="Q34" s="581">
        <v>0</v>
      </c>
      <c r="R34" s="342">
        <f t="shared" si="30"/>
        <v>0</v>
      </c>
      <c r="S34" s="581">
        <v>0</v>
      </c>
      <c r="T34" s="342">
        <f t="shared" si="31"/>
        <v>0</v>
      </c>
      <c r="U34" s="581">
        <v>0</v>
      </c>
      <c r="V34" s="342">
        <f t="shared" si="32"/>
        <v>0</v>
      </c>
      <c r="W34" s="581">
        <v>0</v>
      </c>
      <c r="X34" s="342">
        <f t="shared" si="33"/>
        <v>0</v>
      </c>
      <c r="Y34" s="634">
        <f t="shared" si="36"/>
        <v>0</v>
      </c>
      <c r="Z34" s="342">
        <f t="shared" si="34"/>
        <v>0</v>
      </c>
    </row>
    <row r="35" spans="1:26" ht="15">
      <c r="A35" s="45">
        <f>+A34+1</f>
        <v>20</v>
      </c>
      <c r="B35" s="723" t="s">
        <v>872</v>
      </c>
      <c r="C35" s="656">
        <v>0</v>
      </c>
      <c r="D35" s="657">
        <f t="shared" si="24"/>
        <v>0</v>
      </c>
      <c r="E35" s="657">
        <f t="shared" si="25"/>
        <v>0</v>
      </c>
      <c r="F35" s="684">
        <v>0</v>
      </c>
      <c r="G35" s="656">
        <f t="shared" si="35"/>
        <v>0</v>
      </c>
      <c r="H35" s="724" t="s">
        <v>869</v>
      </c>
      <c r="I35" s="656">
        <v>0</v>
      </c>
      <c r="J35" s="683"/>
      <c r="K35" s="659">
        <v>0</v>
      </c>
      <c r="L35" s="722">
        <f t="shared" si="27"/>
        <v>0</v>
      </c>
      <c r="M35" s="726">
        <v>0</v>
      </c>
      <c r="N35" s="722">
        <f t="shared" si="28"/>
        <v>0</v>
      </c>
      <c r="O35" s="726">
        <v>0</v>
      </c>
      <c r="P35" s="722">
        <f t="shared" si="29"/>
        <v>0</v>
      </c>
      <c r="Q35" s="726">
        <v>0</v>
      </c>
      <c r="R35" s="722">
        <f t="shared" si="30"/>
        <v>0</v>
      </c>
      <c r="S35" s="726">
        <v>0</v>
      </c>
      <c r="T35" s="722">
        <f t="shared" si="31"/>
        <v>0</v>
      </c>
      <c r="U35" s="726">
        <v>0</v>
      </c>
      <c r="V35" s="722">
        <f t="shared" si="32"/>
        <v>0</v>
      </c>
      <c r="W35" s="726">
        <v>0</v>
      </c>
      <c r="X35" s="722">
        <f t="shared" si="33"/>
        <v>0</v>
      </c>
      <c r="Y35" s="657">
        <f t="shared" si="36"/>
        <v>0</v>
      </c>
      <c r="Z35" s="722">
        <f t="shared" si="34"/>
        <v>0</v>
      </c>
    </row>
    <row r="36" spans="1:26" ht="15">
      <c r="A36" s="45">
        <f>+A35+1</f>
        <v>21</v>
      </c>
      <c r="B36" s="445" t="s">
        <v>875</v>
      </c>
      <c r="C36" s="621">
        <f>+C34+C35</f>
        <v>0</v>
      </c>
      <c r="D36" s="621">
        <f>+D34+D35</f>
        <v>0</v>
      </c>
      <c r="E36" s="621">
        <f>+SUM(E32:E35)</f>
        <v>0</v>
      </c>
      <c r="F36" s="621">
        <f>+SUM(F32:F35)</f>
        <v>0</v>
      </c>
      <c r="G36" s="621">
        <f>+SUM(G32:G35)</f>
        <v>0</v>
      </c>
      <c r="H36" s="443"/>
      <c r="I36" s="621">
        <f>+SUM(I32:I35)</f>
        <v>0</v>
      </c>
      <c r="J36" s="621"/>
      <c r="K36" s="621">
        <f t="shared" ref="K36:Z36" si="37">+SUM(K32:K35)</f>
        <v>0</v>
      </c>
      <c r="L36" s="621">
        <f t="shared" si="37"/>
        <v>0</v>
      </c>
      <c r="M36" s="621">
        <f t="shared" si="37"/>
        <v>0</v>
      </c>
      <c r="N36" s="621">
        <f t="shared" si="37"/>
        <v>0</v>
      </c>
      <c r="O36" s="621">
        <f t="shared" si="37"/>
        <v>0</v>
      </c>
      <c r="P36" s="621">
        <f t="shared" si="37"/>
        <v>0</v>
      </c>
      <c r="Q36" s="621">
        <f t="shared" si="37"/>
        <v>0</v>
      </c>
      <c r="R36" s="621">
        <f t="shared" si="37"/>
        <v>0</v>
      </c>
      <c r="S36" s="621">
        <f t="shared" si="37"/>
        <v>0</v>
      </c>
      <c r="T36" s="621">
        <f t="shared" si="37"/>
        <v>0</v>
      </c>
      <c r="U36" s="621">
        <f t="shared" si="37"/>
        <v>0</v>
      </c>
      <c r="V36" s="621">
        <f t="shared" si="37"/>
        <v>0</v>
      </c>
      <c r="W36" s="621">
        <f t="shared" si="37"/>
        <v>0</v>
      </c>
      <c r="X36" s="621">
        <f t="shared" si="37"/>
        <v>0</v>
      </c>
      <c r="Y36" s="621">
        <f t="shared" si="37"/>
        <v>0</v>
      </c>
      <c r="Z36" s="621">
        <f t="shared" si="37"/>
        <v>0</v>
      </c>
    </row>
    <row r="37" spans="1:26" ht="15">
      <c r="A37" s="45"/>
      <c r="B37" s="445"/>
      <c r="C37" s="445"/>
      <c r="D37" s="445"/>
      <c r="E37" s="621"/>
      <c r="F37" s="621"/>
      <c r="G37" s="621"/>
      <c r="H37" s="443"/>
      <c r="I37" s="621"/>
      <c r="J37" s="621"/>
      <c r="K37" s="621"/>
      <c r="L37" s="342"/>
      <c r="M37" s="342"/>
      <c r="N37" s="342"/>
      <c r="O37" s="342"/>
      <c r="P37" s="342"/>
      <c r="Q37" s="342"/>
      <c r="R37" s="342"/>
      <c r="S37" s="342"/>
      <c r="T37" s="342"/>
      <c r="U37" s="342"/>
      <c r="V37" s="342"/>
      <c r="W37" s="342"/>
      <c r="X37" s="342"/>
      <c r="Y37" s="342"/>
      <c r="Z37" s="342"/>
    </row>
    <row r="38" spans="1:26" ht="30">
      <c r="A38" s="45">
        <f>+A36+1</f>
        <v>22</v>
      </c>
      <c r="B38" s="445" t="s">
        <v>876</v>
      </c>
      <c r="C38" s="445"/>
      <c r="D38" s="445"/>
      <c r="E38" s="621">
        <f>+E24+E29+E36</f>
        <v>3904074</v>
      </c>
      <c r="F38" s="621"/>
      <c r="G38" s="621">
        <f>+G24+G29+G36</f>
        <v>3904074</v>
      </c>
      <c r="H38" s="443"/>
      <c r="I38" s="621">
        <f>+I24+I29+I36</f>
        <v>493745.2009</v>
      </c>
      <c r="J38" s="621"/>
      <c r="K38" s="621">
        <f>+K24+K29+K36</f>
        <v>0</v>
      </c>
      <c r="L38" s="621">
        <f t="shared" ref="L38:Z38" si="38">+L24+L29+L36</f>
        <v>493745.2009</v>
      </c>
      <c r="M38" s="621">
        <f t="shared" si="38"/>
        <v>49374.520089999998</v>
      </c>
      <c r="N38" s="621">
        <f t="shared" si="38"/>
        <v>444370.68081000005</v>
      </c>
      <c r="O38" s="621">
        <f t="shared" si="38"/>
        <v>49374.520089999998</v>
      </c>
      <c r="P38" s="621">
        <f t="shared" si="38"/>
        <v>394996.16071999999</v>
      </c>
      <c r="Q38" s="621">
        <f t="shared" si="38"/>
        <v>78999.23214399998</v>
      </c>
      <c r="R38" s="621">
        <f t="shared" si="38"/>
        <v>315996.92857599992</v>
      </c>
      <c r="S38" s="621">
        <f t="shared" si="38"/>
        <v>78999.23214399998</v>
      </c>
      <c r="T38" s="621">
        <f t="shared" si="38"/>
        <v>236997.69643200003</v>
      </c>
      <c r="U38" s="621">
        <f t="shared" si="38"/>
        <v>78999.23214399998</v>
      </c>
      <c r="V38" s="621">
        <f t="shared" si="38"/>
        <v>157998.46428799996</v>
      </c>
      <c r="W38" s="621">
        <f t="shared" si="38"/>
        <v>78999.23214399998</v>
      </c>
      <c r="X38" s="621">
        <f t="shared" si="38"/>
        <v>78999.23214399998</v>
      </c>
      <c r="Y38" s="621">
        <f t="shared" si="38"/>
        <v>78999.23214399998</v>
      </c>
      <c r="Z38" s="621">
        <f t="shared" si="38"/>
        <v>0</v>
      </c>
    </row>
    <row r="39" spans="1:26" ht="15">
      <c r="A39" s="45">
        <f>+A38+1</f>
        <v>23</v>
      </c>
      <c r="B39" s="445" t="s">
        <v>877</v>
      </c>
      <c r="C39" s="445"/>
      <c r="D39" s="445"/>
      <c r="E39" s="659">
        <v>0</v>
      </c>
      <c r="F39" s="659"/>
      <c r="G39" s="659">
        <v>1037791.82278481</v>
      </c>
      <c r="H39" s="443"/>
      <c r="I39" s="659">
        <v>131248.72428987341</v>
      </c>
      <c r="J39" s="621"/>
      <c r="K39" s="659"/>
      <c r="L39" s="659">
        <v>131248.72428987341</v>
      </c>
      <c r="M39" s="342"/>
      <c r="N39" s="659">
        <v>118123.85186088608</v>
      </c>
      <c r="O39" s="342"/>
      <c r="P39" s="659">
        <v>104998.97943189873</v>
      </c>
      <c r="Q39" s="342"/>
      <c r="R39" s="659">
        <v>83999.183545518958</v>
      </c>
      <c r="S39" s="342"/>
      <c r="T39" s="659">
        <v>62999.38765913924</v>
      </c>
      <c r="U39" s="342"/>
      <c r="V39" s="659">
        <v>96409.913588658193</v>
      </c>
      <c r="W39" s="342"/>
      <c r="X39" s="659">
        <v>20999.795886379739</v>
      </c>
      <c r="Y39" s="342"/>
      <c r="Z39" s="659">
        <v>0</v>
      </c>
    </row>
    <row r="40" spans="1:26" ht="30">
      <c r="A40" s="45">
        <f>+A39+1</f>
        <v>24</v>
      </c>
      <c r="B40" s="445" t="s">
        <v>878</v>
      </c>
      <c r="C40" s="445"/>
      <c r="D40" s="445"/>
      <c r="E40" s="621">
        <f>+E38+E39</f>
        <v>3904074</v>
      </c>
      <c r="F40" s="659"/>
      <c r="G40" s="621">
        <f>+G38+G39</f>
        <v>4941865.8227848103</v>
      </c>
      <c r="H40" s="443"/>
      <c r="I40" s="621">
        <f>+I38+I39</f>
        <v>624993.92518987344</v>
      </c>
      <c r="J40" s="621"/>
      <c r="K40" s="621"/>
      <c r="L40" s="621">
        <f>+L38+L39</f>
        <v>624993.92518987344</v>
      </c>
      <c r="M40" s="342"/>
      <c r="N40" s="621">
        <f>+N38+N39</f>
        <v>562494.53267088614</v>
      </c>
      <c r="O40" s="342"/>
      <c r="P40" s="621">
        <f>+P38+P39</f>
        <v>499995.14015189873</v>
      </c>
      <c r="Q40" s="342"/>
      <c r="R40" s="621">
        <f>+R38+R39</f>
        <v>399996.11212151888</v>
      </c>
      <c r="S40" s="342"/>
      <c r="T40" s="621">
        <f>+T38+T39</f>
        <v>299997.08409113926</v>
      </c>
      <c r="U40" s="342"/>
      <c r="V40" s="621">
        <f>+V38+V39</f>
        <v>254408.37787665817</v>
      </c>
      <c r="W40" s="342"/>
      <c r="X40" s="621">
        <f>+X38+X39</f>
        <v>99999.028030379719</v>
      </c>
      <c r="Y40" s="342"/>
      <c r="Z40" s="621">
        <f>+Z38+Z39</f>
        <v>0</v>
      </c>
    </row>
    <row r="41" spans="1:26" ht="15">
      <c r="A41" s="45"/>
      <c r="B41" s="445"/>
      <c r="C41" s="445"/>
      <c r="D41" s="445"/>
      <c r="E41" s="621"/>
      <c r="F41" s="621"/>
      <c r="G41" s="621"/>
      <c r="H41" s="443"/>
      <c r="I41" s="621"/>
      <c r="J41" s="621"/>
      <c r="K41" s="621"/>
      <c r="L41" s="342"/>
      <c r="M41" s="342"/>
      <c r="N41" s="342"/>
      <c r="O41" s="342"/>
      <c r="P41" s="342"/>
      <c r="Q41" s="342"/>
      <c r="R41" s="342"/>
      <c r="S41" s="342"/>
      <c r="T41" s="342"/>
      <c r="U41" s="342"/>
      <c r="V41" s="342"/>
      <c r="W41" s="342"/>
      <c r="X41" s="342"/>
      <c r="Y41" s="342"/>
      <c r="Z41" s="342"/>
    </row>
    <row r="42" spans="1:26" ht="15">
      <c r="A42" s="45"/>
      <c r="B42" s="445"/>
      <c r="C42" s="445"/>
      <c r="D42" s="445"/>
      <c r="E42" s="621"/>
      <c r="F42" s="621"/>
      <c r="G42" s="621"/>
      <c r="H42" s="443"/>
      <c r="I42" s="621"/>
      <c r="J42" s="621"/>
      <c r="K42" s="621"/>
      <c r="L42" s="342"/>
      <c r="M42" s="342"/>
      <c r="N42" s="342"/>
      <c r="O42" s="342"/>
      <c r="P42" s="342"/>
      <c r="Q42" s="342"/>
      <c r="R42" s="342"/>
      <c r="S42" s="342"/>
      <c r="T42" s="342"/>
      <c r="U42" s="342"/>
      <c r="V42" s="342"/>
      <c r="W42" s="342"/>
      <c r="X42" s="342"/>
      <c r="Y42" s="342"/>
      <c r="Z42" s="342"/>
    </row>
    <row r="43" spans="1:26" ht="31.5">
      <c r="A43" s="45"/>
      <c r="B43" s="399" t="s">
        <v>879</v>
      </c>
      <c r="C43" s="399"/>
      <c r="D43" s="399"/>
      <c r="E43" s="621"/>
      <c r="F43" s="621"/>
      <c r="G43" s="621"/>
      <c r="H43" s="443"/>
      <c r="I43" s="621"/>
      <c r="J43" s="621"/>
      <c r="K43" s="621"/>
      <c r="L43" s="342"/>
      <c r="M43" s="342"/>
      <c r="N43" s="342"/>
      <c r="O43" s="342"/>
      <c r="P43" s="342"/>
      <c r="Q43" s="342"/>
      <c r="R43" s="342"/>
      <c r="S43" s="342"/>
      <c r="T43" s="342"/>
      <c r="U43" s="342"/>
      <c r="V43" s="342"/>
      <c r="W43" s="342"/>
      <c r="X43" s="342"/>
      <c r="Y43" s="342"/>
      <c r="Z43" s="342"/>
    </row>
    <row r="44" spans="1:26" ht="15">
      <c r="A44" s="45"/>
      <c r="B44" s="445"/>
      <c r="C44" s="445"/>
      <c r="D44" s="445"/>
      <c r="E44" s="621"/>
      <c r="F44" s="621"/>
      <c r="G44" s="621"/>
      <c r="H44" s="443"/>
      <c r="I44" s="621"/>
      <c r="J44" s="621"/>
      <c r="K44" s="621"/>
      <c r="L44" s="342"/>
      <c r="M44" s="342"/>
      <c r="N44" s="342"/>
      <c r="O44" s="342"/>
      <c r="P44" s="342"/>
      <c r="Q44" s="342"/>
      <c r="R44" s="342"/>
      <c r="S44" s="342"/>
      <c r="T44" s="342"/>
      <c r="U44" s="342"/>
      <c r="V44" s="342"/>
      <c r="W44" s="342"/>
      <c r="X44" s="342"/>
      <c r="Y44" s="342"/>
      <c r="Z44" s="342"/>
    </row>
    <row r="45" spans="1:26" ht="17.25">
      <c r="A45" s="45"/>
      <c r="B45" s="442" t="s">
        <v>855</v>
      </c>
      <c r="C45" s="442"/>
      <c r="D45" s="442"/>
      <c r="E45" s="622"/>
      <c r="F45" s="622"/>
      <c r="G45" s="622"/>
      <c r="H45" s="443"/>
      <c r="I45" s="621"/>
      <c r="J45" s="621"/>
      <c r="K45" s="621"/>
      <c r="L45" s="342"/>
      <c r="M45" s="342"/>
      <c r="N45" s="342"/>
      <c r="O45" s="342"/>
      <c r="P45" s="342"/>
      <c r="Q45" s="342"/>
      <c r="R45" s="342"/>
      <c r="S45" s="342"/>
      <c r="T45" s="342"/>
      <c r="U45" s="342"/>
      <c r="V45" s="342"/>
      <c r="W45" s="342"/>
      <c r="X45" s="342"/>
      <c r="Y45" s="342"/>
      <c r="Z45" s="342"/>
    </row>
    <row r="46" spans="1:26" ht="15">
      <c r="A46" s="45">
        <f>+A40+1</f>
        <v>25</v>
      </c>
      <c r="B46" s="723" t="s">
        <v>872</v>
      </c>
      <c r="C46" s="683">
        <v>0</v>
      </c>
      <c r="D46" s="634">
        <f t="shared" ref="D46:D47" si="39">+C46*$I$80</f>
        <v>0</v>
      </c>
      <c r="E46" s="634">
        <f t="shared" ref="E46:E47" si="40">+C46-D46</f>
        <v>0</v>
      </c>
      <c r="F46" s="683">
        <v>0</v>
      </c>
      <c r="G46" s="635">
        <f>+E46-F46</f>
        <v>0</v>
      </c>
      <c r="H46" s="724">
        <v>0</v>
      </c>
      <c r="I46" s="634">
        <f t="shared" ref="I46" si="41">+G46*H46</f>
        <v>0</v>
      </c>
      <c r="J46" s="683"/>
      <c r="K46" s="621">
        <v>0</v>
      </c>
      <c r="L46" s="342">
        <f>+I46-K46</f>
        <v>0</v>
      </c>
      <c r="M46" s="683">
        <v>0</v>
      </c>
      <c r="N46" s="342">
        <f>+L46-M46</f>
        <v>0</v>
      </c>
      <c r="O46" s="683">
        <v>0</v>
      </c>
      <c r="P46" s="342">
        <f>+N46-O46</f>
        <v>0</v>
      </c>
      <c r="Q46" s="683">
        <v>0</v>
      </c>
      <c r="R46" s="342">
        <f>+P46-Q46</f>
        <v>0</v>
      </c>
      <c r="S46" s="683">
        <v>0</v>
      </c>
      <c r="T46" s="342">
        <f>+R46-S46</f>
        <v>0</v>
      </c>
      <c r="U46" s="683">
        <v>0</v>
      </c>
      <c r="V46" s="342">
        <f>+T46-U46</f>
        <v>0</v>
      </c>
      <c r="W46" s="683">
        <v>0</v>
      </c>
      <c r="X46" s="342">
        <f>+V46-W46</f>
        <v>0</v>
      </c>
      <c r="Y46" s="683">
        <v>0</v>
      </c>
      <c r="Z46" s="342">
        <f>+X46-Y46</f>
        <v>0</v>
      </c>
    </row>
    <row r="47" spans="1:26" ht="15">
      <c r="A47" s="45">
        <f>+A46+1</f>
        <v>26</v>
      </c>
      <c r="B47" s="723" t="s">
        <v>872</v>
      </c>
      <c r="C47" s="684">
        <v>0</v>
      </c>
      <c r="D47" s="657">
        <f t="shared" si="39"/>
        <v>0</v>
      </c>
      <c r="E47" s="657">
        <f t="shared" si="40"/>
        <v>0</v>
      </c>
      <c r="F47" s="684">
        <v>0</v>
      </c>
      <c r="G47" s="656">
        <f>+E47-F47</f>
        <v>0</v>
      </c>
      <c r="H47" s="724" t="s">
        <v>869</v>
      </c>
      <c r="I47" s="656">
        <v>0</v>
      </c>
      <c r="J47" s="683"/>
      <c r="K47" s="659">
        <v>0</v>
      </c>
      <c r="L47" s="722">
        <f>+I47-K47</f>
        <v>0</v>
      </c>
      <c r="M47" s="684">
        <v>0</v>
      </c>
      <c r="N47" s="722">
        <f>+L47-M47</f>
        <v>0</v>
      </c>
      <c r="O47" s="684">
        <v>0</v>
      </c>
      <c r="P47" s="722">
        <f>+N47-O47</f>
        <v>0</v>
      </c>
      <c r="Q47" s="684">
        <v>0</v>
      </c>
      <c r="R47" s="722">
        <f>+P47-Q47</f>
        <v>0</v>
      </c>
      <c r="S47" s="684">
        <v>0</v>
      </c>
      <c r="T47" s="722">
        <f>+R47-S47</f>
        <v>0</v>
      </c>
      <c r="U47" s="684">
        <v>0</v>
      </c>
      <c r="V47" s="722">
        <f>+T47-U47</f>
        <v>0</v>
      </c>
      <c r="W47" s="684">
        <v>0</v>
      </c>
      <c r="X47" s="722">
        <f>+V47-W47</f>
        <v>0</v>
      </c>
      <c r="Y47" s="684">
        <v>0</v>
      </c>
      <c r="Z47" s="722">
        <f>+X47-Y47</f>
        <v>0</v>
      </c>
    </row>
    <row r="48" spans="1:26" ht="15">
      <c r="A48" s="45">
        <f>+A47+1</f>
        <v>27</v>
      </c>
      <c r="B48" s="445" t="s">
        <v>880</v>
      </c>
      <c r="C48" s="621">
        <f>+C46+C47</f>
        <v>0</v>
      </c>
      <c r="D48" s="621">
        <f>+D46+D47</f>
        <v>0</v>
      </c>
      <c r="E48" s="621">
        <f>+E46+E47</f>
        <v>0</v>
      </c>
      <c r="F48" s="621">
        <f>+F46+F47</f>
        <v>0</v>
      </c>
      <c r="G48" s="621">
        <f>+G46+G47</f>
        <v>0</v>
      </c>
      <c r="H48" s="443"/>
      <c r="I48" s="621">
        <v>0</v>
      </c>
      <c r="J48" s="621"/>
      <c r="K48" s="621">
        <v>0</v>
      </c>
      <c r="L48" s="621">
        <v>0</v>
      </c>
      <c r="M48" s="621">
        <v>0</v>
      </c>
      <c r="N48" s="621">
        <v>0</v>
      </c>
      <c r="O48" s="621">
        <v>0</v>
      </c>
      <c r="P48" s="621">
        <v>0</v>
      </c>
      <c r="Q48" s="621">
        <v>0</v>
      </c>
      <c r="R48" s="621">
        <v>0</v>
      </c>
      <c r="S48" s="621">
        <v>0</v>
      </c>
      <c r="T48" s="621">
        <v>0</v>
      </c>
      <c r="U48" s="621">
        <v>0</v>
      </c>
      <c r="V48" s="621">
        <v>0</v>
      </c>
      <c r="W48" s="621">
        <v>0</v>
      </c>
      <c r="X48" s="621">
        <v>0</v>
      </c>
      <c r="Y48" s="621">
        <v>0</v>
      </c>
      <c r="Z48" s="621">
        <v>0</v>
      </c>
    </row>
    <row r="49" spans="1:26" ht="15">
      <c r="A49" s="45"/>
      <c r="B49" s="445"/>
      <c r="C49" s="621"/>
      <c r="D49" s="621"/>
      <c r="E49" s="621"/>
      <c r="F49" s="621"/>
      <c r="G49" s="621"/>
      <c r="H49" s="443"/>
      <c r="I49" s="621"/>
      <c r="J49" s="621"/>
      <c r="K49" s="621"/>
      <c r="L49" s="342"/>
      <c r="M49" s="342"/>
      <c r="N49" s="342"/>
      <c r="O49" s="342"/>
      <c r="P49" s="342"/>
      <c r="Q49" s="342"/>
      <c r="R49" s="342"/>
      <c r="S49" s="342"/>
      <c r="T49" s="342"/>
      <c r="U49" s="342"/>
      <c r="V49" s="342"/>
      <c r="W49" s="342"/>
      <c r="X49" s="342"/>
      <c r="Y49" s="342"/>
      <c r="Z49" s="342"/>
    </row>
    <row r="50" spans="1:26" ht="15">
      <c r="A50" s="45"/>
      <c r="B50" s="442" t="s">
        <v>871</v>
      </c>
      <c r="C50" s="621"/>
      <c r="D50" s="621"/>
      <c r="E50" s="621"/>
      <c r="F50" s="621"/>
      <c r="G50" s="621"/>
      <c r="H50" s="443"/>
      <c r="I50" s="621"/>
      <c r="J50" s="621"/>
      <c r="K50" s="621"/>
      <c r="L50" s="342"/>
      <c r="M50" s="342"/>
      <c r="N50" s="342"/>
      <c r="O50" s="342"/>
      <c r="P50" s="342"/>
      <c r="Q50" s="342"/>
      <c r="R50" s="342"/>
      <c r="S50" s="342"/>
      <c r="T50" s="342"/>
      <c r="U50" s="342"/>
      <c r="V50" s="342"/>
      <c r="W50" s="342"/>
      <c r="X50" s="342"/>
      <c r="Y50" s="342"/>
      <c r="Z50" s="342"/>
    </row>
    <row r="51" spans="1:26" ht="15">
      <c r="A51" s="45">
        <f>+A48+1</f>
        <v>28</v>
      </c>
      <c r="B51" s="728" t="s">
        <v>881</v>
      </c>
      <c r="C51" s="683">
        <v>-174316942.5</v>
      </c>
      <c r="D51" s="634">
        <f t="shared" ref="D51:D52" si="42">+C51*$I$80</f>
        <v>-104590165.5</v>
      </c>
      <c r="E51" s="634">
        <f t="shared" ref="E51:E52" si="43">+C51-D51</f>
        <v>-69726777</v>
      </c>
      <c r="F51" s="683">
        <v>0</v>
      </c>
      <c r="G51" s="635">
        <f>+E51+F51</f>
        <v>-69726777</v>
      </c>
      <c r="H51" s="724">
        <v>0.30148496415831438</v>
      </c>
      <c r="I51" s="634">
        <f t="shared" ref="I51" si="44">+G51*H51</f>
        <v>-21021574.864719778</v>
      </c>
      <c r="J51" s="721" t="s">
        <v>237</v>
      </c>
      <c r="K51" s="635">
        <v>0</v>
      </c>
      <c r="L51" s="342">
        <f t="shared" ref="L51:L52" si="45">+I51-K51</f>
        <v>-21021574.864719778</v>
      </c>
      <c r="M51" s="581">
        <v>-1589075</v>
      </c>
      <c r="N51" s="342">
        <f t="shared" ref="N51:N52" si="46">+L51-M51</f>
        <v>-19432499.864719778</v>
      </c>
      <c r="O51" s="581">
        <v>-842411</v>
      </c>
      <c r="P51" s="342">
        <f t="shared" ref="P51:P52" si="47">+N51-O51</f>
        <v>-18590088.864719778</v>
      </c>
      <c r="Q51" s="581">
        <v>-725756</v>
      </c>
      <c r="R51" s="342">
        <f t="shared" ref="R51:R52" si="48">+P51-Q51</f>
        <v>-17864332.864719778</v>
      </c>
      <c r="S51" s="683">
        <v>-749590</v>
      </c>
      <c r="T51" s="342">
        <f t="shared" ref="T51:T52" si="49">+R51-S51</f>
        <v>-17114742.864719778</v>
      </c>
      <c r="U51" s="683">
        <v>-554747</v>
      </c>
      <c r="V51" s="342">
        <f t="shared" ref="V51:V52" si="50">+T51-U51</f>
        <v>-16559995.864719778</v>
      </c>
      <c r="W51" s="683">
        <v>0</v>
      </c>
      <c r="X51" s="342">
        <f t="shared" ref="X51:X52" si="51">+V51-W51</f>
        <v>-16559995.864719778</v>
      </c>
      <c r="Y51" s="683">
        <v>0</v>
      </c>
      <c r="Z51" s="342">
        <f t="shared" ref="Z51:Z52" si="52">+X51-Y51</f>
        <v>-16559995.864719778</v>
      </c>
    </row>
    <row r="52" spans="1:26" ht="15">
      <c r="A52" s="45">
        <f>+A51+1</f>
        <v>29</v>
      </c>
      <c r="B52" s="728" t="s">
        <v>882</v>
      </c>
      <c r="C52" s="684">
        <v>-84074115.473193392</v>
      </c>
      <c r="D52" s="657">
        <f t="shared" si="42"/>
        <v>-50444469.283916034</v>
      </c>
      <c r="E52" s="657">
        <f t="shared" si="43"/>
        <v>-33629646.189277358</v>
      </c>
      <c r="F52" s="684">
        <v>0</v>
      </c>
      <c r="G52" s="656">
        <f>+E52+F52</f>
        <v>-33629646.189277358</v>
      </c>
      <c r="H52" s="724" t="s">
        <v>869</v>
      </c>
      <c r="I52" s="722">
        <v>-10130697</v>
      </c>
      <c r="J52" s="729" t="s">
        <v>883</v>
      </c>
      <c r="K52" s="658">
        <v>0</v>
      </c>
      <c r="L52" s="722">
        <f t="shared" si="45"/>
        <v>-10130697</v>
      </c>
      <c r="M52" s="722">
        <f>+I52/10</f>
        <v>-1013069.7</v>
      </c>
      <c r="N52" s="722">
        <f t="shared" si="46"/>
        <v>-9117627.3000000007</v>
      </c>
      <c r="O52" s="722">
        <f>+I52/10</f>
        <v>-1013069.7</v>
      </c>
      <c r="P52" s="722">
        <f t="shared" si="47"/>
        <v>-8104557.6000000006</v>
      </c>
      <c r="Q52" s="722">
        <f>+P52/5</f>
        <v>-1620911.52</v>
      </c>
      <c r="R52" s="722">
        <f t="shared" si="48"/>
        <v>-6483646.0800000001</v>
      </c>
      <c r="S52" s="657">
        <f t="shared" ref="S52:Y52" si="53">+$P52/5</f>
        <v>-1620911.52</v>
      </c>
      <c r="T52" s="722">
        <f t="shared" si="49"/>
        <v>-4862734.5600000005</v>
      </c>
      <c r="U52" s="657">
        <f t="shared" si="53"/>
        <v>-1620911.52</v>
      </c>
      <c r="V52" s="722">
        <f t="shared" si="50"/>
        <v>-3241823.0400000005</v>
      </c>
      <c r="W52" s="657">
        <f t="shared" si="53"/>
        <v>-1620911.52</v>
      </c>
      <c r="X52" s="722">
        <f t="shared" si="51"/>
        <v>-1620911.5200000005</v>
      </c>
      <c r="Y52" s="657">
        <f t="shared" si="53"/>
        <v>-1620911.52</v>
      </c>
      <c r="Z52" s="722">
        <f t="shared" si="52"/>
        <v>0</v>
      </c>
    </row>
    <row r="53" spans="1:26" ht="17.25">
      <c r="A53" s="45">
        <f>+A52+1</f>
        <v>30</v>
      </c>
      <c r="B53" s="445" t="s">
        <v>873</v>
      </c>
      <c r="C53" s="622">
        <f>+SUM(C51:C52)</f>
        <v>-258391057.97319341</v>
      </c>
      <c r="D53" s="621">
        <f>+D51+D52</f>
        <v>-155034634.78391603</v>
      </c>
      <c r="E53" s="621">
        <f>+SUM(E51:E52)</f>
        <v>-103356423.18927735</v>
      </c>
      <c r="F53" s="621">
        <f>+SUM(F51:F52)</f>
        <v>0</v>
      </c>
      <c r="G53" s="621">
        <f>+SUM(G51:G52)</f>
        <v>-103356423.18927735</v>
      </c>
      <c r="H53" s="443"/>
      <c r="I53" s="730">
        <f t="shared" ref="I53:Z53" si="54">+SUM(I51:I52)</f>
        <v>-31152271.864719778</v>
      </c>
      <c r="J53" s="730"/>
      <c r="K53" s="730">
        <f t="shared" si="54"/>
        <v>0</v>
      </c>
      <c r="L53" s="730">
        <f t="shared" si="54"/>
        <v>-31152271.864719778</v>
      </c>
      <c r="M53" s="730">
        <f t="shared" si="54"/>
        <v>-2602144.7000000002</v>
      </c>
      <c r="N53" s="730">
        <f t="shared" si="54"/>
        <v>-28550127.164719779</v>
      </c>
      <c r="O53" s="731">
        <f t="shared" si="54"/>
        <v>-1855480.7</v>
      </c>
      <c r="P53" s="730">
        <f t="shared" si="54"/>
        <v>-26694646.46471978</v>
      </c>
      <c r="Q53" s="731">
        <f t="shared" si="54"/>
        <v>-2346667.52</v>
      </c>
      <c r="R53" s="730">
        <f t="shared" si="54"/>
        <v>-24347978.944719777</v>
      </c>
      <c r="S53" s="731">
        <f t="shared" si="54"/>
        <v>-2370501.52</v>
      </c>
      <c r="T53" s="730">
        <f t="shared" si="54"/>
        <v>-21977477.424719781</v>
      </c>
      <c r="U53" s="731">
        <f t="shared" si="54"/>
        <v>-2175658.52</v>
      </c>
      <c r="V53" s="730">
        <f t="shared" si="54"/>
        <v>-19801818.904719777</v>
      </c>
      <c r="W53" s="731">
        <f t="shared" si="54"/>
        <v>-1620911.52</v>
      </c>
      <c r="X53" s="730">
        <f t="shared" si="54"/>
        <v>-18180907.384719778</v>
      </c>
      <c r="Y53" s="731">
        <f t="shared" si="54"/>
        <v>-1620911.52</v>
      </c>
      <c r="Z53" s="730">
        <f t="shared" si="54"/>
        <v>-16559995.864719778</v>
      </c>
    </row>
    <row r="54" spans="1:26" ht="15">
      <c r="A54" s="45"/>
      <c r="B54" s="445"/>
      <c r="C54" s="621"/>
      <c r="D54" s="621"/>
      <c r="E54" s="621"/>
      <c r="F54" s="621"/>
      <c r="G54" s="621"/>
      <c r="H54" s="443"/>
      <c r="I54" s="621"/>
      <c r="J54" s="621"/>
      <c r="K54" s="621"/>
      <c r="L54" s="342"/>
      <c r="M54" s="342"/>
      <c r="N54" s="342"/>
      <c r="O54" s="342"/>
      <c r="P54" s="342"/>
      <c r="Q54" s="342"/>
      <c r="R54" s="342"/>
      <c r="S54" s="342"/>
      <c r="T54" s="342"/>
      <c r="U54" s="342"/>
      <c r="V54" s="342"/>
      <c r="W54" s="342"/>
      <c r="X54" s="342"/>
      <c r="Y54" s="342"/>
      <c r="Z54" s="342"/>
    </row>
    <row r="55" spans="1:26" ht="15">
      <c r="A55" s="45"/>
      <c r="B55" s="445" t="s">
        <v>874</v>
      </c>
      <c r="C55" s="621"/>
      <c r="D55" s="621"/>
      <c r="E55" s="621"/>
      <c r="F55" s="621"/>
      <c r="G55" s="621"/>
      <c r="H55" s="443"/>
      <c r="I55" s="621"/>
      <c r="J55" s="621"/>
      <c r="K55" s="621"/>
      <c r="L55" s="342"/>
      <c r="M55" s="342"/>
      <c r="N55" s="342"/>
      <c r="O55" s="342"/>
      <c r="P55" s="342"/>
      <c r="Q55" s="342"/>
      <c r="R55" s="342"/>
      <c r="S55" s="342"/>
      <c r="T55" s="342"/>
      <c r="U55" s="342"/>
      <c r="V55" s="342"/>
      <c r="W55" s="342"/>
      <c r="X55" s="342"/>
      <c r="Y55" s="342"/>
      <c r="Z55" s="342"/>
    </row>
    <row r="56" spans="1:26" ht="15">
      <c r="A56" s="45">
        <f>+A53+1</f>
        <v>31</v>
      </c>
      <c r="B56" s="728" t="s">
        <v>316</v>
      </c>
      <c r="C56" s="683">
        <v>-5722360</v>
      </c>
      <c r="D56" s="634">
        <f t="shared" ref="D56:D61" si="55">+C56*$I$80</f>
        <v>-3433416</v>
      </c>
      <c r="E56" s="634">
        <f t="shared" ref="E56:E61" si="56">+C56-D56</f>
        <v>-2288944</v>
      </c>
      <c r="F56" s="683">
        <v>0</v>
      </c>
      <c r="G56" s="635">
        <f>+E56-F56</f>
        <v>-2288944</v>
      </c>
      <c r="H56" s="724">
        <v>0.30148000000000003</v>
      </c>
      <c r="I56" s="634">
        <f t="shared" ref="I56:I60" si="57">+G56*H56</f>
        <v>-690070.83712000004</v>
      </c>
      <c r="J56" s="721" t="s">
        <v>857</v>
      </c>
      <c r="K56" s="635">
        <v>0</v>
      </c>
      <c r="L56" s="342">
        <f t="shared" ref="L56:L61" si="58">+I56-K56</f>
        <v>-690070.83712000004</v>
      </c>
      <c r="M56" s="342">
        <f>+I56/10</f>
        <v>-69007.083712000007</v>
      </c>
      <c r="N56" s="342">
        <f t="shared" ref="N56:N61" si="59">+L56-M56</f>
        <v>-621063.75340799999</v>
      </c>
      <c r="O56" s="342">
        <f>+I56/10</f>
        <v>-69007.083712000007</v>
      </c>
      <c r="P56" s="342">
        <f t="shared" ref="P56:P61" si="60">+N56-O56</f>
        <v>-552056.66969599994</v>
      </c>
      <c r="Q56" s="342">
        <f>+P56/5</f>
        <v>-110411.33393919999</v>
      </c>
      <c r="R56" s="342">
        <f t="shared" ref="R56:R61" si="61">+P56-Q56</f>
        <v>-441645.33575679996</v>
      </c>
      <c r="S56" s="634">
        <f t="shared" ref="S56:Y61" si="62">+$P56/5</f>
        <v>-110411.33393919999</v>
      </c>
      <c r="T56" s="342">
        <f t="shared" ref="T56:T61" si="63">+R56-S56</f>
        <v>-331234.00181759999</v>
      </c>
      <c r="U56" s="634">
        <f t="shared" si="62"/>
        <v>-110411.33393919999</v>
      </c>
      <c r="V56" s="342">
        <f t="shared" ref="V56:V61" si="64">+T56-U56</f>
        <v>-220822.66787840001</v>
      </c>
      <c r="W56" s="634">
        <f t="shared" si="62"/>
        <v>-110411.33393919999</v>
      </c>
      <c r="X56" s="342">
        <f t="shared" ref="X56:X61" si="65">+V56-W56</f>
        <v>-110411.33393920002</v>
      </c>
      <c r="Y56" s="634">
        <f t="shared" si="62"/>
        <v>-110411.33393919999</v>
      </c>
      <c r="Z56" s="342">
        <f t="shared" ref="Z56:Z61" si="66">+X56-Y56</f>
        <v>0</v>
      </c>
    </row>
    <row r="57" spans="1:26" ht="15">
      <c r="A57" s="45">
        <f>+A56+1</f>
        <v>32</v>
      </c>
      <c r="B57" s="728" t="s">
        <v>884</v>
      </c>
      <c r="C57" s="683">
        <v>-2442970</v>
      </c>
      <c r="D57" s="634">
        <f t="shared" si="55"/>
        <v>-1465782</v>
      </c>
      <c r="E57" s="634">
        <f t="shared" si="56"/>
        <v>-977188</v>
      </c>
      <c r="F57" s="683">
        <v>0</v>
      </c>
      <c r="G57" s="635">
        <f t="shared" ref="G57:G61" si="67">+E57-F57</f>
        <v>-977188</v>
      </c>
      <c r="H57" s="724">
        <v>0.14549999999999999</v>
      </c>
      <c r="I57" s="634">
        <f t="shared" si="57"/>
        <v>-142180.85399999999</v>
      </c>
      <c r="J57" s="721" t="s">
        <v>857</v>
      </c>
      <c r="K57" s="635">
        <v>0</v>
      </c>
      <c r="L57" s="342">
        <f t="shared" si="58"/>
        <v>-142180.85399999999</v>
      </c>
      <c r="M57" s="342">
        <f t="shared" ref="M57:M61" si="68">+I57/10</f>
        <v>-14218.0854</v>
      </c>
      <c r="N57" s="342">
        <f t="shared" si="59"/>
        <v>-127962.7686</v>
      </c>
      <c r="O57" s="342">
        <f t="shared" ref="O57:O61" si="69">+I57/10</f>
        <v>-14218.0854</v>
      </c>
      <c r="P57" s="342">
        <f t="shared" si="60"/>
        <v>-113744.6832</v>
      </c>
      <c r="Q57" s="342">
        <f t="shared" ref="Q57:Q61" si="70">+P57/5</f>
        <v>-22748.93664</v>
      </c>
      <c r="R57" s="342">
        <f t="shared" si="61"/>
        <v>-90995.74656</v>
      </c>
      <c r="S57" s="634">
        <f t="shared" si="62"/>
        <v>-22748.93664</v>
      </c>
      <c r="T57" s="342">
        <f t="shared" si="63"/>
        <v>-68246.80992</v>
      </c>
      <c r="U57" s="634">
        <f t="shared" si="62"/>
        <v>-22748.93664</v>
      </c>
      <c r="V57" s="342">
        <f t="shared" si="64"/>
        <v>-45497.87328</v>
      </c>
      <c r="W57" s="634">
        <f t="shared" si="62"/>
        <v>-22748.93664</v>
      </c>
      <c r="X57" s="342">
        <f t="shared" si="65"/>
        <v>-22748.93664</v>
      </c>
      <c r="Y57" s="634">
        <f t="shared" si="62"/>
        <v>-22748.93664</v>
      </c>
      <c r="Z57" s="342">
        <f t="shared" si="66"/>
        <v>0</v>
      </c>
    </row>
    <row r="58" spans="1:26" ht="15">
      <c r="A58" s="45">
        <f t="shared" ref="A58:A61" si="71">+A57+1</f>
        <v>33</v>
      </c>
      <c r="B58" s="728" t="s">
        <v>885</v>
      </c>
      <c r="C58" s="683">
        <v>-26686865</v>
      </c>
      <c r="D58" s="634">
        <f t="shared" si="55"/>
        <v>-16012119</v>
      </c>
      <c r="E58" s="634">
        <f t="shared" si="56"/>
        <v>-10674746</v>
      </c>
      <c r="F58" s="683">
        <v>0</v>
      </c>
      <c r="G58" s="635">
        <f t="shared" si="67"/>
        <v>-10674746</v>
      </c>
      <c r="H58" s="724">
        <v>0.14549999999999999</v>
      </c>
      <c r="I58" s="634">
        <f t="shared" si="57"/>
        <v>-1553175.5429999998</v>
      </c>
      <c r="J58" s="721" t="s">
        <v>857</v>
      </c>
      <c r="K58" s="635">
        <v>0</v>
      </c>
      <c r="L58" s="342">
        <f t="shared" si="58"/>
        <v>-1553175.5429999998</v>
      </c>
      <c r="M58" s="342">
        <f t="shared" si="68"/>
        <v>-155317.55429999999</v>
      </c>
      <c r="N58" s="342">
        <f t="shared" si="59"/>
        <v>-1397857.9886999999</v>
      </c>
      <c r="O58" s="342">
        <f t="shared" si="69"/>
        <v>-155317.55429999999</v>
      </c>
      <c r="P58" s="342">
        <f t="shared" si="60"/>
        <v>-1242540.4343999999</v>
      </c>
      <c r="Q58" s="342">
        <f t="shared" si="70"/>
        <v>-248508.08687999999</v>
      </c>
      <c r="R58" s="342">
        <f t="shared" si="61"/>
        <v>-994032.34751999995</v>
      </c>
      <c r="S58" s="634">
        <f t="shared" si="62"/>
        <v>-248508.08687999999</v>
      </c>
      <c r="T58" s="342">
        <f t="shared" si="63"/>
        <v>-745524.26063999999</v>
      </c>
      <c r="U58" s="634">
        <f t="shared" si="62"/>
        <v>-248508.08687999999</v>
      </c>
      <c r="V58" s="342">
        <f t="shared" si="64"/>
        <v>-497016.17376000003</v>
      </c>
      <c r="W58" s="634">
        <f t="shared" si="62"/>
        <v>-248508.08687999999</v>
      </c>
      <c r="X58" s="342">
        <f t="shared" si="65"/>
        <v>-248508.08688000005</v>
      </c>
      <c r="Y58" s="634">
        <f t="shared" si="62"/>
        <v>-248508.08687999999</v>
      </c>
      <c r="Z58" s="342">
        <f t="shared" si="66"/>
        <v>0</v>
      </c>
    </row>
    <row r="59" spans="1:26" ht="15">
      <c r="A59" s="45">
        <f t="shared" si="71"/>
        <v>34</v>
      </c>
      <c r="B59" s="728" t="s">
        <v>324</v>
      </c>
      <c r="C59" s="683">
        <v>-17226040</v>
      </c>
      <c r="D59" s="634">
        <f t="shared" si="55"/>
        <v>-10335624</v>
      </c>
      <c r="E59" s="634">
        <f t="shared" si="56"/>
        <v>-6890416</v>
      </c>
      <c r="F59" s="683">
        <v>0</v>
      </c>
      <c r="G59" s="635">
        <f t="shared" si="67"/>
        <v>-6890416</v>
      </c>
      <c r="H59" s="724">
        <v>0.14549999999999999</v>
      </c>
      <c r="I59" s="634">
        <f t="shared" si="57"/>
        <v>-1002555.5279999999</v>
      </c>
      <c r="J59" s="721" t="s">
        <v>857</v>
      </c>
      <c r="K59" s="635">
        <v>0</v>
      </c>
      <c r="L59" s="342">
        <f t="shared" si="58"/>
        <v>-1002555.5279999999</v>
      </c>
      <c r="M59" s="342">
        <f t="shared" si="68"/>
        <v>-100255.55279999999</v>
      </c>
      <c r="N59" s="342">
        <f t="shared" si="59"/>
        <v>-902299.97519999999</v>
      </c>
      <c r="O59" s="342">
        <f t="shared" si="69"/>
        <v>-100255.55279999999</v>
      </c>
      <c r="P59" s="342">
        <f t="shared" si="60"/>
        <v>-802044.42240000004</v>
      </c>
      <c r="Q59" s="342">
        <f t="shared" si="70"/>
        <v>-160408.88448000001</v>
      </c>
      <c r="R59" s="342">
        <f t="shared" si="61"/>
        <v>-641635.53792000003</v>
      </c>
      <c r="S59" s="634">
        <f t="shared" si="62"/>
        <v>-160408.88448000001</v>
      </c>
      <c r="T59" s="342">
        <f t="shared" si="63"/>
        <v>-481226.65344000002</v>
      </c>
      <c r="U59" s="634">
        <f t="shared" si="62"/>
        <v>-160408.88448000001</v>
      </c>
      <c r="V59" s="342">
        <f t="shared" si="64"/>
        <v>-320817.76896000002</v>
      </c>
      <c r="W59" s="634">
        <f t="shared" si="62"/>
        <v>-160408.88448000001</v>
      </c>
      <c r="X59" s="342">
        <f t="shared" si="65"/>
        <v>-160408.88448000001</v>
      </c>
      <c r="Y59" s="634">
        <f t="shared" si="62"/>
        <v>-160408.88448000001</v>
      </c>
      <c r="Z59" s="342">
        <f t="shared" si="66"/>
        <v>0</v>
      </c>
    </row>
    <row r="60" spans="1:26" ht="15">
      <c r="A60" s="45">
        <f t="shared" si="71"/>
        <v>35</v>
      </c>
      <c r="B60" s="728" t="s">
        <v>325</v>
      </c>
      <c r="C60" s="683">
        <v>681172.5</v>
      </c>
      <c r="D60" s="634">
        <f t="shared" si="55"/>
        <v>408703.5</v>
      </c>
      <c r="E60" s="634">
        <f t="shared" si="56"/>
        <v>272469</v>
      </c>
      <c r="F60" s="683">
        <v>0</v>
      </c>
      <c r="G60" s="635">
        <f t="shared" si="67"/>
        <v>272469</v>
      </c>
      <c r="H60" s="724">
        <v>0.14549999999999999</v>
      </c>
      <c r="I60" s="634">
        <f t="shared" si="57"/>
        <v>39644.239499999996</v>
      </c>
      <c r="J60" s="721" t="s">
        <v>857</v>
      </c>
      <c r="K60" s="635">
        <v>0</v>
      </c>
      <c r="L60" s="342">
        <f t="shared" si="58"/>
        <v>39644.239499999996</v>
      </c>
      <c r="M60" s="342">
        <f t="shared" si="68"/>
        <v>3964.4239499999994</v>
      </c>
      <c r="N60" s="342">
        <f t="shared" si="59"/>
        <v>35679.815549999999</v>
      </c>
      <c r="O60" s="342">
        <f t="shared" si="69"/>
        <v>3964.4239499999994</v>
      </c>
      <c r="P60" s="342">
        <f t="shared" si="60"/>
        <v>31715.391599999999</v>
      </c>
      <c r="Q60" s="342">
        <f t="shared" si="70"/>
        <v>6343.0783199999996</v>
      </c>
      <c r="R60" s="342">
        <f t="shared" si="61"/>
        <v>25372.313279999998</v>
      </c>
      <c r="S60" s="634">
        <f t="shared" si="62"/>
        <v>6343.0783199999996</v>
      </c>
      <c r="T60" s="342">
        <f t="shared" si="63"/>
        <v>19029.234959999998</v>
      </c>
      <c r="U60" s="634">
        <f t="shared" si="62"/>
        <v>6343.0783199999996</v>
      </c>
      <c r="V60" s="342">
        <f t="shared" si="64"/>
        <v>12686.156639999997</v>
      </c>
      <c r="W60" s="634">
        <f t="shared" si="62"/>
        <v>6343.0783199999996</v>
      </c>
      <c r="X60" s="342">
        <f t="shared" si="65"/>
        <v>6343.0783199999978</v>
      </c>
      <c r="Y60" s="634">
        <f t="shared" si="62"/>
        <v>6343.0783199999996</v>
      </c>
      <c r="Z60" s="342">
        <f t="shared" si="66"/>
        <v>0</v>
      </c>
    </row>
    <row r="61" spans="1:26" ht="15">
      <c r="A61" s="45">
        <f t="shared" si="71"/>
        <v>36</v>
      </c>
      <c r="B61" s="728" t="s">
        <v>294</v>
      </c>
      <c r="C61" s="684">
        <v>1347942.5</v>
      </c>
      <c r="D61" s="657">
        <f t="shared" si="55"/>
        <v>808765.5</v>
      </c>
      <c r="E61" s="657">
        <f t="shared" si="56"/>
        <v>539177</v>
      </c>
      <c r="F61" s="684">
        <v>0</v>
      </c>
      <c r="G61" s="658">
        <f t="shared" si="67"/>
        <v>539177</v>
      </c>
      <c r="H61" s="724" t="s">
        <v>869</v>
      </c>
      <c r="I61" s="656">
        <v>-1055740</v>
      </c>
      <c r="J61" s="721" t="s">
        <v>857</v>
      </c>
      <c r="K61" s="656">
        <v>0</v>
      </c>
      <c r="L61" s="722">
        <f t="shared" si="58"/>
        <v>-1055740</v>
      </c>
      <c r="M61" s="722">
        <f t="shared" si="68"/>
        <v>-105574</v>
      </c>
      <c r="N61" s="722">
        <f t="shared" si="59"/>
        <v>-950166</v>
      </c>
      <c r="O61" s="722">
        <f t="shared" si="69"/>
        <v>-105574</v>
      </c>
      <c r="P61" s="722">
        <f t="shared" si="60"/>
        <v>-844592</v>
      </c>
      <c r="Q61" s="722">
        <f t="shared" si="70"/>
        <v>-168918.39999999999</v>
      </c>
      <c r="R61" s="722">
        <f t="shared" si="61"/>
        <v>-675673.59999999998</v>
      </c>
      <c r="S61" s="657">
        <f t="shared" si="62"/>
        <v>-168918.39999999999</v>
      </c>
      <c r="T61" s="722">
        <f t="shared" si="63"/>
        <v>-506755.19999999995</v>
      </c>
      <c r="U61" s="657">
        <f t="shared" si="62"/>
        <v>-168918.39999999999</v>
      </c>
      <c r="V61" s="722">
        <f t="shared" si="64"/>
        <v>-337836.79999999993</v>
      </c>
      <c r="W61" s="657">
        <f t="shared" si="62"/>
        <v>-168918.39999999999</v>
      </c>
      <c r="X61" s="722">
        <f t="shared" si="65"/>
        <v>-168918.39999999994</v>
      </c>
      <c r="Y61" s="657">
        <f t="shared" si="62"/>
        <v>-168918.39999999999</v>
      </c>
      <c r="Z61" s="722">
        <f t="shared" si="66"/>
        <v>0</v>
      </c>
    </row>
    <row r="62" spans="1:26" ht="17.25">
      <c r="A62" s="45">
        <f>+A61+1</f>
        <v>37</v>
      </c>
      <c r="B62" s="45" t="s">
        <v>886</v>
      </c>
      <c r="C62" s="622">
        <f>+SUM(C56:C61)</f>
        <v>-50049120</v>
      </c>
      <c r="D62" s="621">
        <f>+SUM(D50:D61)</f>
        <v>-340098741.56783205</v>
      </c>
      <c r="E62" s="621">
        <f>+SUM(E56:E61)</f>
        <v>-20019648</v>
      </c>
      <c r="F62" s="621">
        <f>+SUM(F56:F61)</f>
        <v>0</v>
      </c>
      <c r="G62" s="621">
        <f>+SUM(G56:G61)</f>
        <v>-20019648</v>
      </c>
      <c r="H62" s="443"/>
      <c r="I62" s="621">
        <f t="shared" ref="I62:Z62" si="72">+SUM(I56:I61)</f>
        <v>-4404078.5226199999</v>
      </c>
      <c r="J62" s="621"/>
      <c r="K62" s="621">
        <f t="shared" si="72"/>
        <v>0</v>
      </c>
      <c r="L62" s="621">
        <f t="shared" si="72"/>
        <v>-4404078.5226199999</v>
      </c>
      <c r="M62" s="621">
        <f t="shared" si="72"/>
        <v>-440407.85226199997</v>
      </c>
      <c r="N62" s="621">
        <f t="shared" si="72"/>
        <v>-3963670.6703579999</v>
      </c>
      <c r="O62" s="635">
        <f t="shared" si="72"/>
        <v>-440407.85226199997</v>
      </c>
      <c r="P62" s="621">
        <f t="shared" si="72"/>
        <v>-3523262.8180959998</v>
      </c>
      <c r="Q62" s="635">
        <f t="shared" si="72"/>
        <v>-704652.56361920002</v>
      </c>
      <c r="R62" s="621">
        <f t="shared" si="72"/>
        <v>-2818610.2544768001</v>
      </c>
      <c r="S62" s="635">
        <f t="shared" si="72"/>
        <v>-704652.56361920002</v>
      </c>
      <c r="T62" s="621">
        <f t="shared" si="72"/>
        <v>-2113957.6908576</v>
      </c>
      <c r="U62" s="635">
        <f t="shared" si="72"/>
        <v>-704652.56361920002</v>
      </c>
      <c r="V62" s="621">
        <f t="shared" si="72"/>
        <v>-1409305.1272384003</v>
      </c>
      <c r="W62" s="635">
        <f t="shared" si="72"/>
        <v>-704652.56361920002</v>
      </c>
      <c r="X62" s="621">
        <f t="shared" si="72"/>
        <v>-704652.56361920002</v>
      </c>
      <c r="Y62" s="635">
        <f t="shared" si="72"/>
        <v>-704652.56361920002</v>
      </c>
      <c r="Z62" s="621">
        <f t="shared" si="72"/>
        <v>0</v>
      </c>
    </row>
    <row r="63" spans="1:26" ht="17.25">
      <c r="A63" s="45"/>
      <c r="B63" s="45"/>
      <c r="C63" s="45"/>
      <c r="D63" s="45"/>
      <c r="E63" s="622"/>
      <c r="F63" s="808"/>
      <c r="G63" s="622"/>
      <c r="H63" s="443"/>
      <c r="I63" s="622"/>
      <c r="J63" s="622"/>
      <c r="K63" s="622"/>
      <c r="L63" s="622"/>
      <c r="M63" s="622"/>
      <c r="N63" s="622"/>
      <c r="O63" s="623"/>
      <c r="P63" s="622"/>
      <c r="Q63" s="623"/>
      <c r="R63" s="622"/>
      <c r="S63" s="623"/>
      <c r="T63" s="622"/>
      <c r="U63" s="623"/>
      <c r="V63" s="622"/>
      <c r="W63" s="623"/>
      <c r="X63" s="622"/>
      <c r="Y63" s="623"/>
      <c r="Z63" s="622"/>
    </row>
    <row r="64" spans="1:26" ht="32.25">
      <c r="A64" s="45">
        <f>+A62+1</f>
        <v>38</v>
      </c>
      <c r="B64" s="445" t="s">
        <v>876</v>
      </c>
      <c r="C64" s="445"/>
      <c r="D64" s="445"/>
      <c r="E64" s="621">
        <f>+E48+E53+E62</f>
        <v>-123376071.18927735</v>
      </c>
      <c r="F64" s="621"/>
      <c r="G64" s="621">
        <f>+G48+G53+G62</f>
        <v>-123376071.18927735</v>
      </c>
      <c r="H64" s="443"/>
      <c r="I64" s="621">
        <f>+I48+I53+I62</f>
        <v>-35556350.387339778</v>
      </c>
      <c r="J64" s="622"/>
      <c r="K64" s="621">
        <f>+K48+K53+K62</f>
        <v>0</v>
      </c>
      <c r="L64" s="621">
        <f>+L48+L53+L62</f>
        <v>-35556350.387339778</v>
      </c>
      <c r="M64" s="621">
        <f>+M48+M53+M62</f>
        <v>-3042552.5522620003</v>
      </c>
      <c r="N64" s="621">
        <f t="shared" ref="N64:Z64" si="73">+N48+N53+N62</f>
        <v>-32513797.835077778</v>
      </c>
      <c r="O64" s="621">
        <f t="shared" si="73"/>
        <v>-2295888.5522619998</v>
      </c>
      <c r="P64" s="621">
        <f t="shared" si="73"/>
        <v>-30217909.28281578</v>
      </c>
      <c r="Q64" s="621">
        <f t="shared" si="73"/>
        <v>-3051320.0836192002</v>
      </c>
      <c r="R64" s="621">
        <f t="shared" si="73"/>
        <v>-27166589.199196577</v>
      </c>
      <c r="S64" s="621">
        <f t="shared" si="73"/>
        <v>-3075154.0836192002</v>
      </c>
      <c r="T64" s="621">
        <f t="shared" si="73"/>
        <v>-24091435.115577381</v>
      </c>
      <c r="U64" s="621">
        <f t="shared" si="73"/>
        <v>-2880311.0836192002</v>
      </c>
      <c r="V64" s="621">
        <f t="shared" si="73"/>
        <v>-21211124.031958178</v>
      </c>
      <c r="W64" s="621">
        <f t="shared" si="73"/>
        <v>-2325564.0836192002</v>
      </c>
      <c r="X64" s="621">
        <f t="shared" si="73"/>
        <v>-18885559.948338978</v>
      </c>
      <c r="Y64" s="621">
        <f t="shared" si="73"/>
        <v>-2325564.0836192002</v>
      </c>
      <c r="Z64" s="621">
        <f t="shared" si="73"/>
        <v>-16559995.864719778</v>
      </c>
    </row>
    <row r="65" spans="1:27" ht="15">
      <c r="A65" s="45">
        <f>+A64+1</f>
        <v>39</v>
      </c>
      <c r="B65" s="445" t="s">
        <v>877</v>
      </c>
      <c r="C65" s="445"/>
      <c r="D65" s="445"/>
      <c r="E65" s="659">
        <v>0.26582278481012656</v>
      </c>
      <c r="F65" s="659"/>
      <c r="G65" s="659">
        <v>-31917281.164556958</v>
      </c>
      <c r="H65" s="443"/>
      <c r="I65" s="659">
        <v>-9186715.9257485475</v>
      </c>
      <c r="J65" s="621"/>
      <c r="K65" s="621"/>
      <c r="L65" s="659">
        <v>-9186715.9257485475</v>
      </c>
      <c r="M65" s="342"/>
      <c r="N65" s="659">
        <v>-8404433.3485649787</v>
      </c>
      <c r="O65" s="342"/>
      <c r="P65" s="659">
        <v>-7651869.4066739334</v>
      </c>
      <c r="Q65" s="342"/>
      <c r="R65" s="659">
        <v>-7076077.0300156642</v>
      </c>
      <c r="S65" s="342"/>
      <c r="T65" s="659">
        <v>-6500284.6533573978</v>
      </c>
      <c r="U65" s="342"/>
      <c r="V65" s="659">
        <v>-5924492.2766991286</v>
      </c>
      <c r="W65" s="342"/>
      <c r="X65" s="659">
        <v>-5348699.9000408603</v>
      </c>
      <c r="Y65" s="342"/>
      <c r="Z65" s="659">
        <v>-4772907.523382592</v>
      </c>
    </row>
    <row r="66" spans="1:27" ht="30">
      <c r="A66" s="45">
        <f>+A65+1</f>
        <v>40</v>
      </c>
      <c r="B66" s="445" t="s">
        <v>887</v>
      </c>
      <c r="C66" s="445"/>
      <c r="D66" s="445"/>
      <c r="E66" s="732">
        <f>+E64+E65</f>
        <v>-123376070.92345457</v>
      </c>
      <c r="F66" s="716"/>
      <c r="G66" s="732">
        <f>+G64+G65</f>
        <v>-155293352.3538343</v>
      </c>
      <c r="H66" s="733"/>
      <c r="I66" s="732">
        <f>+I64+I65</f>
        <v>-44743066.313088328</v>
      </c>
      <c r="J66" s="716"/>
      <c r="K66" s="716"/>
      <c r="L66" s="732">
        <f>+L64+L65</f>
        <v>-44743066.313088328</v>
      </c>
      <c r="M66" s="716"/>
      <c r="N66" s="732">
        <f>+N64+N65</f>
        <v>-40918231.18364276</v>
      </c>
      <c r="O66" s="41"/>
      <c r="P66" s="732">
        <f>+P64+P65</f>
        <v>-37869778.689489715</v>
      </c>
      <c r="Q66" s="41"/>
      <c r="R66" s="732">
        <f>+R64+R65</f>
        <v>-34242666.229212239</v>
      </c>
      <c r="S66" s="41"/>
      <c r="T66" s="732">
        <f>+T64+T65</f>
        <v>-30591719.768934779</v>
      </c>
      <c r="U66" s="41"/>
      <c r="V66" s="732">
        <f>+V64+V65</f>
        <v>-27135616.308657307</v>
      </c>
      <c r="W66" s="41"/>
      <c r="X66" s="732">
        <f>+X64+X65</f>
        <v>-24234259.848379839</v>
      </c>
      <c r="Y66" s="41"/>
      <c r="Z66" s="732">
        <f>+Z64+Z65</f>
        <v>-21332903.388102371</v>
      </c>
    </row>
    <row r="67" spans="1:27" ht="15">
      <c r="A67" s="45"/>
      <c r="B67" s="445"/>
      <c r="C67" s="445"/>
      <c r="D67" s="445"/>
      <c r="E67" s="716"/>
      <c r="F67" s="716"/>
      <c r="G67" s="716"/>
      <c r="H67" s="443"/>
      <c r="I67" s="716"/>
      <c r="J67" s="716"/>
      <c r="K67" s="716"/>
      <c r="L67" s="716"/>
      <c r="M67" s="716"/>
      <c r="N67" s="716"/>
      <c r="O67" s="41"/>
      <c r="P67" s="716"/>
      <c r="Q67" s="41"/>
      <c r="R67" s="716"/>
      <c r="S67" s="41"/>
      <c r="T67" s="716"/>
      <c r="U67" s="41"/>
      <c r="V67" s="716"/>
      <c r="W67" s="41"/>
      <c r="X67" s="716"/>
      <c r="Y67" s="41"/>
      <c r="Z67" s="716"/>
    </row>
    <row r="68" spans="1:27" ht="15">
      <c r="A68" s="45">
        <f>+A66+1</f>
        <v>41</v>
      </c>
      <c r="B68" s="445" t="s">
        <v>432</v>
      </c>
      <c r="C68" s="445"/>
      <c r="D68" s="445"/>
      <c r="E68" s="716">
        <f>+E40+E66</f>
        <v>-119471996.92345457</v>
      </c>
      <c r="F68" s="716"/>
      <c r="G68" s="716">
        <f>+G40+G66</f>
        <v>-150351486.53104949</v>
      </c>
      <c r="H68" s="443"/>
      <c r="I68" s="716">
        <f>+I40+I66</f>
        <v>-44118072.387898453</v>
      </c>
      <c r="J68" s="716"/>
      <c r="K68" s="716"/>
      <c r="L68" s="716">
        <f>+L40+L66</f>
        <v>-44118072.387898453</v>
      </c>
      <c r="M68" s="716"/>
      <c r="N68" s="716">
        <f>+N40+N66</f>
        <v>-40355736.650971875</v>
      </c>
      <c r="O68" s="41"/>
      <c r="P68" s="716">
        <f>+P40+P66</f>
        <v>-37369783.549337819</v>
      </c>
      <c r="Q68" s="41"/>
      <c r="R68" s="716">
        <f>+R40+R66</f>
        <v>-33842670.117090717</v>
      </c>
      <c r="S68" s="41"/>
      <c r="T68" s="716">
        <f>+T40+T66</f>
        <v>-30291722.684843641</v>
      </c>
      <c r="U68" s="41"/>
      <c r="V68" s="716">
        <f>+V40+V66</f>
        <v>-26881207.930780649</v>
      </c>
      <c r="W68" s="41"/>
      <c r="X68" s="716">
        <f>+X40+X66</f>
        <v>-24134260.820349459</v>
      </c>
      <c r="Y68" s="41"/>
      <c r="Z68" s="716">
        <f>+Z40+Z66</f>
        <v>-21332903.388102371</v>
      </c>
    </row>
    <row r="69" spans="1:27" ht="15">
      <c r="A69" s="45"/>
      <c r="B69" s="445"/>
      <c r="C69" s="445"/>
      <c r="D69" s="445"/>
      <c r="E69" s="716"/>
      <c r="F69" s="716"/>
      <c r="G69" s="716"/>
      <c r="H69" s="443"/>
      <c r="I69" s="716"/>
      <c r="J69" s="716"/>
      <c r="K69" s="716"/>
      <c r="L69" s="716"/>
      <c r="M69" s="716"/>
      <c r="N69" s="716"/>
      <c r="O69" s="41"/>
      <c r="P69" s="716"/>
      <c r="Q69" s="716"/>
      <c r="R69" s="716"/>
      <c r="S69" s="617"/>
      <c r="T69" s="617"/>
      <c r="U69" s="617"/>
      <c r="V69" s="617"/>
      <c r="W69" s="617"/>
      <c r="X69" s="617"/>
    </row>
    <row r="70" spans="1:27" ht="15">
      <c r="A70" s="45">
        <f>+A68+1</f>
        <v>42</v>
      </c>
      <c r="B70" s="45" t="s">
        <v>888</v>
      </c>
      <c r="C70" s="45"/>
      <c r="D70" s="45"/>
      <c r="E70" s="45"/>
      <c r="F70" s="45"/>
      <c r="G70" s="45"/>
      <c r="H70" s="45"/>
      <c r="I70" s="45"/>
      <c r="J70" s="45"/>
      <c r="K70" s="45"/>
      <c r="L70" s="45"/>
      <c r="M70" s="342">
        <f>+M38+M64</f>
        <v>-2993178.0321720005</v>
      </c>
      <c r="N70" s="45"/>
      <c r="O70" s="342">
        <f>+O38+O64</f>
        <v>-2246514.032172</v>
      </c>
      <c r="P70" s="45"/>
      <c r="Q70" s="342">
        <f>+Q38+Q64</f>
        <v>-2972320.8514752002</v>
      </c>
      <c r="S70" s="342">
        <f>+S38+S64</f>
        <v>-2996154.8514752002</v>
      </c>
      <c r="U70" s="342">
        <f>+U38+U64</f>
        <v>-2801311.8514752002</v>
      </c>
      <c r="W70" s="342">
        <f>+W38+W64</f>
        <v>-2246564.8514752002</v>
      </c>
      <c r="Y70" s="342">
        <f>+Y38+Y64</f>
        <v>-2246564.8514752002</v>
      </c>
      <c r="AA70" s="342"/>
    </row>
    <row r="71" spans="1:27" ht="15">
      <c r="A71" s="45"/>
      <c r="B71" s="45"/>
      <c r="C71" s="45"/>
      <c r="D71" s="45"/>
      <c r="E71" s="45"/>
      <c r="F71" s="45"/>
      <c r="G71" s="45"/>
      <c r="H71" s="45"/>
      <c r="I71" s="45"/>
      <c r="J71" s="45"/>
      <c r="K71" s="45"/>
      <c r="L71" s="45"/>
      <c r="M71" s="45"/>
      <c r="N71" s="45"/>
      <c r="O71" s="45"/>
      <c r="P71" s="342"/>
    </row>
    <row r="72" spans="1:27" ht="15">
      <c r="A72" s="45"/>
      <c r="B72" s="932" t="s">
        <v>889</v>
      </c>
      <c r="C72" s="932"/>
      <c r="D72" s="932"/>
      <c r="E72" s="932"/>
      <c r="F72" s="932"/>
      <c r="G72" s="932"/>
      <c r="H72" s="932"/>
      <c r="I72" s="932"/>
      <c r="J72" s="932"/>
      <c r="K72" s="932"/>
      <c r="L72" s="932"/>
      <c r="M72" s="45"/>
      <c r="N72" s="45"/>
      <c r="O72" s="45"/>
      <c r="P72" s="45"/>
    </row>
    <row r="73" spans="1:27" ht="15">
      <c r="A73" s="45"/>
      <c r="B73" s="45" t="s">
        <v>890</v>
      </c>
      <c r="C73" s="45"/>
      <c r="D73" s="45"/>
      <c r="E73" s="45"/>
      <c r="F73" s="45"/>
      <c r="G73" s="45"/>
      <c r="H73" s="45"/>
      <c r="I73" s="45"/>
      <c r="J73" s="45"/>
      <c r="K73" s="45"/>
      <c r="L73" s="45"/>
      <c r="M73" s="45"/>
      <c r="N73" s="45"/>
      <c r="O73" s="45"/>
      <c r="P73" s="45"/>
    </row>
    <row r="74" spans="1:27" ht="15">
      <c r="A74" s="45"/>
      <c r="B74" s="932" t="s">
        <v>891</v>
      </c>
      <c r="C74" s="932"/>
      <c r="D74" s="932"/>
      <c r="E74" s="932"/>
      <c r="F74" s="932"/>
      <c r="G74" s="932"/>
      <c r="H74" s="932"/>
      <c r="I74" s="932"/>
      <c r="J74" s="932"/>
      <c r="K74" s="932"/>
      <c r="L74" s="932"/>
      <c r="M74" s="45"/>
      <c r="N74" s="45"/>
      <c r="O74" s="45"/>
      <c r="P74" s="45"/>
    </row>
    <row r="75" spans="1:27" ht="15">
      <c r="A75" s="45"/>
      <c r="B75" s="45" t="s">
        <v>892</v>
      </c>
      <c r="C75" s="45"/>
      <c r="D75" s="45"/>
      <c r="E75" s="45"/>
      <c r="F75" s="45"/>
      <c r="G75" s="45"/>
      <c r="H75" s="45"/>
      <c r="I75" s="45"/>
      <c r="J75" s="45"/>
      <c r="K75" s="45"/>
      <c r="L75" s="45"/>
      <c r="M75" s="45"/>
      <c r="N75" s="45"/>
      <c r="O75" s="45"/>
      <c r="P75" s="45"/>
    </row>
    <row r="76" spans="1:27" ht="15">
      <c r="A76" s="45"/>
      <c r="B76" s="45" t="s">
        <v>893</v>
      </c>
      <c r="C76" s="45"/>
      <c r="D76" s="45"/>
      <c r="E76" s="45"/>
      <c r="F76" s="45"/>
      <c r="G76" s="45"/>
      <c r="H76" s="45"/>
      <c r="I76" s="45"/>
      <c r="J76" s="45"/>
      <c r="K76" s="45"/>
      <c r="L76" s="45"/>
      <c r="M76" s="45"/>
      <c r="N76" s="45"/>
      <c r="O76" s="45"/>
      <c r="P76" s="45"/>
    </row>
    <row r="77" spans="1:27" ht="15">
      <c r="A77" s="45"/>
      <c r="B77" s="45" t="s">
        <v>894</v>
      </c>
      <c r="C77" s="45"/>
      <c r="D77" s="45"/>
      <c r="E77" s="45"/>
      <c r="F77" s="45"/>
      <c r="G77" s="45"/>
      <c r="H77" s="45"/>
      <c r="I77" s="45"/>
      <c r="J77" s="45"/>
      <c r="K77" s="45"/>
      <c r="L77" s="45"/>
      <c r="M77" s="45"/>
      <c r="N77" s="45"/>
      <c r="O77" s="45"/>
      <c r="P77" s="45"/>
    </row>
    <row r="78" spans="1:27" ht="15">
      <c r="A78" s="45"/>
      <c r="B78" s="45"/>
      <c r="C78" s="45"/>
      <c r="D78" s="45"/>
      <c r="E78" s="45" t="s">
        <v>895</v>
      </c>
      <c r="F78" s="45"/>
      <c r="G78" s="45"/>
      <c r="H78" s="45"/>
      <c r="I78" s="462">
        <v>0.21</v>
      </c>
      <c r="J78" s="462"/>
      <c r="K78" s="45"/>
      <c r="L78" s="45"/>
      <c r="M78" s="45"/>
      <c r="N78" s="45"/>
      <c r="O78" s="45"/>
      <c r="P78" s="45"/>
    </row>
    <row r="79" spans="1:27" ht="15">
      <c r="A79" s="45"/>
      <c r="B79" s="45"/>
      <c r="C79" s="45"/>
      <c r="D79" s="45"/>
      <c r="E79" s="45" t="s">
        <v>896</v>
      </c>
      <c r="F79" s="45"/>
      <c r="G79" s="45"/>
      <c r="H79" s="45"/>
      <c r="I79" s="462">
        <v>0.35</v>
      </c>
      <c r="J79" s="462"/>
      <c r="K79" s="45"/>
      <c r="L79" s="45"/>
      <c r="M79" s="45"/>
      <c r="N79" s="45"/>
      <c r="O79" s="45"/>
      <c r="P79" s="45"/>
    </row>
    <row r="80" spans="1:27" ht="15">
      <c r="A80" s="45"/>
      <c r="B80" s="45"/>
      <c r="C80" s="45"/>
      <c r="D80" s="45"/>
      <c r="E80" s="45" t="s">
        <v>897</v>
      </c>
      <c r="F80" s="45"/>
      <c r="G80" s="45"/>
      <c r="H80" s="45"/>
      <c r="I80" s="462">
        <f>+I78/I79</f>
        <v>0.6</v>
      </c>
      <c r="J80" s="462"/>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B4" sqref="B4:M4"/>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89" t="str">
        <f>+'9 - Excess ADIT'!I2</f>
        <v>Dayton Power and Light</v>
      </c>
      <c r="C1" s="889"/>
      <c r="D1" s="889"/>
      <c r="E1" s="889"/>
      <c r="F1" s="889"/>
      <c r="G1" s="889"/>
      <c r="H1" s="889"/>
      <c r="I1" s="889"/>
      <c r="J1" s="889"/>
      <c r="K1" s="889"/>
      <c r="L1" s="889"/>
      <c r="M1" s="889"/>
    </row>
    <row r="2" spans="1:23" ht="18" customHeight="1">
      <c r="B2" s="889" t="str">
        <f>+'9 - Excess ADIT'!I3</f>
        <v xml:space="preserve">ATTACHMENT H-15A </v>
      </c>
      <c r="C2" s="889"/>
      <c r="D2" s="889"/>
      <c r="E2" s="889"/>
      <c r="F2" s="889"/>
      <c r="G2" s="889"/>
      <c r="H2" s="889"/>
      <c r="I2" s="889"/>
      <c r="J2" s="889"/>
      <c r="K2" s="889"/>
      <c r="L2" s="889"/>
      <c r="M2" s="889"/>
      <c r="Q2" s="632"/>
    </row>
    <row r="3" spans="1:23" ht="18">
      <c r="B3" s="889" t="s">
        <v>898</v>
      </c>
      <c r="C3" s="889"/>
      <c r="D3" s="889"/>
      <c r="E3" s="889"/>
      <c r="F3" s="889"/>
      <c r="G3" s="889"/>
      <c r="H3" s="889"/>
      <c r="I3" s="889"/>
      <c r="J3" s="889"/>
      <c r="K3" s="889"/>
      <c r="L3" s="889"/>
      <c r="M3" s="889"/>
      <c r="N3" s="178"/>
      <c r="O3" s="178"/>
    </row>
    <row r="4" spans="1:23" ht="18">
      <c r="B4" s="934">
        <v>45657</v>
      </c>
      <c r="C4" s="889"/>
      <c r="D4" s="889"/>
      <c r="E4" s="889"/>
      <c r="F4" s="889"/>
      <c r="G4" s="889"/>
      <c r="H4" s="889"/>
      <c r="I4" s="889"/>
      <c r="J4" s="889"/>
      <c r="K4" s="889"/>
      <c r="L4" s="889"/>
      <c r="M4" s="889"/>
      <c r="N4" s="178"/>
      <c r="O4" s="178"/>
    </row>
    <row r="5" spans="1:23" ht="18">
      <c r="H5" s="58"/>
      <c r="I5" s="178"/>
      <c r="J5" s="178"/>
      <c r="K5" s="178"/>
      <c r="L5" s="178"/>
      <c r="M5" s="178"/>
      <c r="N5" s="178"/>
      <c r="O5" s="178"/>
    </row>
    <row r="6" spans="1:23" ht="18">
      <c r="B6" s="71" t="s">
        <v>411</v>
      </c>
      <c r="I6" s="178"/>
      <c r="J6" s="178"/>
      <c r="K6" s="178"/>
      <c r="L6" s="178"/>
      <c r="M6" s="178"/>
      <c r="N6" s="178"/>
      <c r="O6" s="178"/>
    </row>
    <row r="7" spans="1:23" ht="13.5" thickBot="1"/>
    <row r="8" spans="1:23" ht="13.5" thickBot="1">
      <c r="B8" s="354" t="s">
        <v>899</v>
      </c>
      <c r="C8" s="354"/>
      <c r="D8" s="354"/>
      <c r="E8" s="354"/>
      <c r="F8" s="354"/>
      <c r="G8" s="354"/>
      <c r="H8" s="354"/>
      <c r="I8" s="354"/>
      <c r="J8" s="354"/>
      <c r="K8" s="354"/>
      <c r="L8" s="354"/>
      <c r="M8" s="354"/>
      <c r="U8" s="703"/>
      <c r="V8" s="707" t="s">
        <v>900</v>
      </c>
      <c r="W8" s="708" t="s">
        <v>901</v>
      </c>
    </row>
    <row r="9" spans="1:23" ht="13.5" thickBot="1">
      <c r="B9" s="354"/>
      <c r="C9" s="354"/>
      <c r="D9" s="354"/>
      <c r="E9" s="354"/>
      <c r="F9" s="702" t="s">
        <v>972</v>
      </c>
      <c r="G9" s="699" t="s">
        <v>496</v>
      </c>
      <c r="H9" s="699" t="s">
        <v>497</v>
      </c>
      <c r="I9" s="699" t="s">
        <v>498</v>
      </c>
      <c r="J9" s="699" t="s">
        <v>499</v>
      </c>
      <c r="K9" s="699" t="s">
        <v>374</v>
      </c>
      <c r="L9" s="699" t="s">
        <v>500</v>
      </c>
      <c r="M9" s="699" t="s">
        <v>501</v>
      </c>
      <c r="N9" s="699" t="s">
        <v>502</v>
      </c>
      <c r="O9" s="699" t="s">
        <v>503</v>
      </c>
      <c r="P9" s="699" t="s">
        <v>504</v>
      </c>
      <c r="Q9" s="699" t="s">
        <v>505</v>
      </c>
      <c r="R9" s="699" t="s">
        <v>506</v>
      </c>
      <c r="S9" s="700" t="s">
        <v>507</v>
      </c>
      <c r="T9" s="701"/>
      <c r="U9" s="704" t="s">
        <v>271</v>
      </c>
      <c r="V9" s="705" t="s">
        <v>431</v>
      </c>
      <c r="W9" s="706" t="s">
        <v>431</v>
      </c>
    </row>
    <row r="10" spans="1:23">
      <c r="B10" s="455" t="s">
        <v>902</v>
      </c>
      <c r="C10" s="354"/>
      <c r="D10" s="354"/>
      <c r="E10" s="354"/>
      <c r="F10" s="354"/>
      <c r="G10" s="354"/>
      <c r="H10" s="354"/>
      <c r="I10" s="354"/>
      <c r="J10" s="354"/>
      <c r="K10" s="354"/>
      <c r="L10" s="354"/>
      <c r="M10" s="354"/>
      <c r="V10" s="734">
        <f>+'Appendix A'!H16</f>
        <v>0.12508709030780155</v>
      </c>
      <c r="W10" s="734">
        <f>+'Appendix A'!H24</f>
        <v>0.23491574602507961</v>
      </c>
    </row>
    <row r="11" spans="1:23">
      <c r="B11" s="354"/>
      <c r="C11" s="354"/>
      <c r="D11" s="354"/>
      <c r="E11" s="354"/>
      <c r="F11" s="354"/>
      <c r="G11" s="354"/>
      <c r="H11" s="354"/>
      <c r="I11" s="354"/>
      <c r="J11" s="354"/>
      <c r="K11" s="354"/>
      <c r="L11" s="354"/>
      <c r="M11" s="354"/>
    </row>
    <row r="12" spans="1:23">
      <c r="A12">
        <v>1</v>
      </c>
      <c r="B12" s="354" t="s">
        <v>903</v>
      </c>
      <c r="C12" s="354"/>
      <c r="D12" s="354"/>
      <c r="E12" s="354"/>
      <c r="F12" s="809">
        <v>-1272057</v>
      </c>
      <c r="G12" s="809">
        <v>-1691595</v>
      </c>
      <c r="H12" s="809">
        <v>-1712389</v>
      </c>
      <c r="I12" s="809">
        <v>-2114560</v>
      </c>
      <c r="J12" s="809">
        <v>-2399022</v>
      </c>
      <c r="K12" s="809">
        <v>-2893079</v>
      </c>
      <c r="L12" s="809">
        <v>-1734977</v>
      </c>
      <c r="M12" s="809">
        <v>-1481858</v>
      </c>
      <c r="N12" s="809">
        <v>-2058141</v>
      </c>
      <c r="O12" s="809">
        <v>-2434463</v>
      </c>
      <c r="P12" s="809">
        <v>-2896826</v>
      </c>
      <c r="Q12" s="809">
        <v>-1678339</v>
      </c>
      <c r="R12" s="809">
        <v>-1420256</v>
      </c>
      <c r="S12" s="613">
        <f>+AVERAGE(F12:R12)</f>
        <v>-1983658.6153846155</v>
      </c>
      <c r="T12" s="617"/>
      <c r="U12" s="617">
        <f>+S12</f>
        <v>-1983658.6153846155</v>
      </c>
      <c r="V12" s="617"/>
      <c r="W12" s="617"/>
    </row>
    <row r="13" spans="1:23">
      <c r="B13" s="354"/>
      <c r="C13" s="354"/>
      <c r="D13" s="354"/>
      <c r="E13" s="354"/>
      <c r="F13" s="613"/>
      <c r="G13" s="613"/>
      <c r="H13" s="613"/>
      <c r="I13" s="613"/>
      <c r="J13" s="613"/>
      <c r="K13" s="613"/>
      <c r="L13" s="613"/>
      <c r="M13" s="613"/>
      <c r="N13" s="354"/>
      <c r="O13" s="354"/>
      <c r="P13" s="354"/>
      <c r="Q13" s="354"/>
      <c r="R13" s="354"/>
      <c r="S13" s="613"/>
      <c r="T13" s="617"/>
      <c r="U13" s="617"/>
      <c r="V13" s="617"/>
      <c r="W13" s="617"/>
    </row>
    <row r="14" spans="1:23">
      <c r="A14">
        <f>+A12+1</f>
        <v>2</v>
      </c>
      <c r="B14" s="354" t="s">
        <v>904</v>
      </c>
      <c r="C14" s="354"/>
      <c r="D14" s="354"/>
      <c r="E14" s="354"/>
      <c r="F14" s="809">
        <v>-12164631</v>
      </c>
      <c r="G14" s="809">
        <v>-11441808</v>
      </c>
      <c r="H14" s="809">
        <v>-12126682</v>
      </c>
      <c r="I14" s="809">
        <v>-9281904</v>
      </c>
      <c r="J14" s="809">
        <v>-9549884</v>
      </c>
      <c r="K14" s="809">
        <v>-9864826</v>
      </c>
      <c r="L14" s="809">
        <v>-10030549</v>
      </c>
      <c r="M14" s="809">
        <v>-10482314</v>
      </c>
      <c r="N14" s="809">
        <v>-10626582</v>
      </c>
      <c r="O14" s="809">
        <v>-10854014</v>
      </c>
      <c r="P14" s="809">
        <v>-11304876</v>
      </c>
      <c r="Q14" s="809">
        <v>-10875281</v>
      </c>
      <c r="R14" s="809">
        <v>-10894650</v>
      </c>
      <c r="S14" s="613">
        <f>+AVERAGE(F14:R14)</f>
        <v>-10730615.461538462</v>
      </c>
      <c r="T14" s="617"/>
      <c r="U14" s="617"/>
      <c r="V14" s="617">
        <f>+S14*V10</f>
        <v>-1342261.4652957532</v>
      </c>
      <c r="W14" s="617"/>
    </row>
    <row r="15" spans="1:23">
      <c r="B15" s="354"/>
      <c r="C15" s="354"/>
      <c r="D15" s="354"/>
      <c r="E15" s="354"/>
      <c r="F15" s="613"/>
      <c r="G15" s="613"/>
      <c r="H15" s="613"/>
      <c r="I15" s="613"/>
      <c r="J15" s="613"/>
      <c r="K15" s="613"/>
      <c r="L15" s="613"/>
      <c r="M15" s="613"/>
      <c r="N15" s="354"/>
      <c r="O15" s="354"/>
      <c r="P15" s="354"/>
      <c r="Q15" s="354"/>
      <c r="R15" s="354"/>
      <c r="S15" s="613"/>
      <c r="T15" s="617"/>
      <c r="U15" s="617"/>
      <c r="V15" s="617"/>
      <c r="W15" s="617"/>
    </row>
    <row r="16" spans="1:23">
      <c r="A16">
        <f>+A14+1</f>
        <v>3</v>
      </c>
      <c r="B16" s="354" t="s">
        <v>905</v>
      </c>
      <c r="C16" s="354"/>
      <c r="D16" s="354"/>
      <c r="E16" s="354"/>
      <c r="F16" s="809">
        <v>43796</v>
      </c>
      <c r="G16" s="809">
        <v>-2934419</v>
      </c>
      <c r="H16" s="809">
        <v>-1998485</v>
      </c>
      <c r="I16" s="809">
        <v>-686649</v>
      </c>
      <c r="J16" s="809">
        <v>45817</v>
      </c>
      <c r="K16" s="809">
        <v>-1537719</v>
      </c>
      <c r="L16" s="809">
        <v>-767794</v>
      </c>
      <c r="M16" s="809">
        <v>19781</v>
      </c>
      <c r="N16" s="809">
        <v>-721603</v>
      </c>
      <c r="O16" s="809">
        <v>-1054448</v>
      </c>
      <c r="P16" s="809">
        <v>-1669565</v>
      </c>
      <c r="Q16" s="809">
        <v>-696013</v>
      </c>
      <c r="R16" s="809">
        <v>0</v>
      </c>
      <c r="S16" s="613">
        <f>+AVERAGE(F16:R16)</f>
        <v>-919792.38461538462</v>
      </c>
      <c r="T16" s="617"/>
      <c r="U16" s="617">
        <f>+S16</f>
        <v>-919792.38461538462</v>
      </c>
      <c r="V16" s="617"/>
      <c r="W16" s="617"/>
    </row>
    <row r="17" spans="1:23">
      <c r="B17" s="354"/>
      <c r="C17" s="354"/>
      <c r="D17" s="354"/>
      <c r="E17" s="354"/>
      <c r="F17" s="613"/>
      <c r="G17" s="613"/>
      <c r="H17" s="613"/>
      <c r="I17" s="613"/>
      <c r="J17" s="613"/>
      <c r="K17" s="613"/>
      <c r="L17" s="613"/>
      <c r="M17" s="613"/>
      <c r="N17" s="354"/>
      <c r="O17" s="354"/>
      <c r="P17" s="354"/>
      <c r="Q17" s="354"/>
      <c r="R17" s="354"/>
      <c r="S17" s="613"/>
      <c r="T17" s="617"/>
      <c r="U17" s="617"/>
      <c r="V17" s="617"/>
      <c r="W17" s="617"/>
    </row>
    <row r="18" spans="1:23">
      <c r="A18">
        <f>+A16+1</f>
        <v>4</v>
      </c>
      <c r="B18" s="354" t="s">
        <v>294</v>
      </c>
      <c r="C18" s="354"/>
      <c r="D18" s="354"/>
      <c r="E18" s="354"/>
      <c r="F18" s="810">
        <v>-2998166</v>
      </c>
      <c r="G18" s="810">
        <v>-3759979</v>
      </c>
      <c r="H18" s="810">
        <v>-3901483</v>
      </c>
      <c r="I18" s="810">
        <v>-2939860</v>
      </c>
      <c r="J18" s="810">
        <v>-2431482</v>
      </c>
      <c r="K18" s="810">
        <v>-2883358</v>
      </c>
      <c r="L18" s="810">
        <v>-2946366</v>
      </c>
      <c r="M18" s="810">
        <v>-3083427</v>
      </c>
      <c r="N18" s="810">
        <v>-3509123</v>
      </c>
      <c r="O18" s="810">
        <v>-2814197</v>
      </c>
      <c r="P18" s="810">
        <v>-2256730</v>
      </c>
      <c r="Q18" s="810">
        <v>-2237626</v>
      </c>
      <c r="R18" s="810">
        <v>-5913794</v>
      </c>
      <c r="S18" s="613">
        <f>+AVERAGE(F18:R18)</f>
        <v>-3205814.6923076925</v>
      </c>
      <c r="T18" s="617"/>
      <c r="U18" s="617">
        <f>+S18</f>
        <v>-3205814.6923076925</v>
      </c>
      <c r="V18" s="617"/>
      <c r="W18" s="617"/>
    </row>
    <row r="19" spans="1:23">
      <c r="B19" s="354"/>
      <c r="C19" s="354"/>
      <c r="D19" s="354"/>
      <c r="E19" s="354"/>
      <c r="F19" s="613"/>
      <c r="G19" s="613"/>
      <c r="H19" s="613"/>
      <c r="I19" s="613"/>
      <c r="J19" s="613"/>
      <c r="K19" s="613"/>
      <c r="L19" s="613"/>
      <c r="M19" s="613"/>
      <c r="S19" s="617"/>
      <c r="T19" s="617"/>
      <c r="U19" s="617"/>
      <c r="V19" s="617"/>
      <c r="W19" s="617"/>
    </row>
    <row r="20" spans="1:23">
      <c r="A20">
        <f>+A18+1</f>
        <v>5</v>
      </c>
      <c r="B20" s="354" t="s">
        <v>67</v>
      </c>
      <c r="C20" s="354"/>
      <c r="D20" s="354"/>
      <c r="E20" s="354"/>
      <c r="F20" s="613">
        <f>+SUM(F12:F18)</f>
        <v>-16391058</v>
      </c>
      <c r="G20" s="613">
        <f t="shared" ref="G20:R20" si="0">+SUM(G12:G18)</f>
        <v>-19827801</v>
      </c>
      <c r="H20" s="613">
        <f t="shared" si="0"/>
        <v>-19739039</v>
      </c>
      <c r="I20" s="613">
        <f t="shared" si="0"/>
        <v>-15022973</v>
      </c>
      <c r="J20" s="613">
        <f t="shared" si="0"/>
        <v>-14334571</v>
      </c>
      <c r="K20" s="613">
        <f t="shared" si="0"/>
        <v>-17178982</v>
      </c>
      <c r="L20" s="613">
        <f t="shared" si="0"/>
        <v>-15479686</v>
      </c>
      <c r="M20" s="613">
        <f t="shared" si="0"/>
        <v>-15027818</v>
      </c>
      <c r="N20" s="613">
        <f t="shared" si="0"/>
        <v>-16915449</v>
      </c>
      <c r="O20" s="613">
        <f t="shared" si="0"/>
        <v>-17157122</v>
      </c>
      <c r="P20" s="613">
        <f t="shared" si="0"/>
        <v>-18127997</v>
      </c>
      <c r="Q20" s="613">
        <f t="shared" si="0"/>
        <v>-15487259</v>
      </c>
      <c r="R20" s="613">
        <f t="shared" si="0"/>
        <v>-18228700</v>
      </c>
      <c r="S20" s="624">
        <f>+SUM(F20:R20)/13</f>
        <v>-16839881.153846152</v>
      </c>
      <c r="T20" s="617"/>
      <c r="U20" s="613">
        <f t="shared" ref="U20:W20" si="1">+SUM(U12:U18)</f>
        <v>-6109265.692307692</v>
      </c>
      <c r="V20" s="613">
        <f t="shared" si="1"/>
        <v>-1342261.4652957532</v>
      </c>
      <c r="W20" s="613">
        <f t="shared" si="1"/>
        <v>0</v>
      </c>
    </row>
    <row r="21" spans="1:23">
      <c r="B21" s="354"/>
      <c r="C21" s="354"/>
      <c r="D21" s="354"/>
      <c r="E21" s="354"/>
      <c r="F21" s="354"/>
      <c r="G21" s="354"/>
      <c r="H21" s="354"/>
      <c r="I21" s="354"/>
      <c r="J21" s="354"/>
      <c r="K21" s="354"/>
      <c r="L21" s="354"/>
      <c r="M21" s="354"/>
      <c r="S21" s="617"/>
      <c r="T21" s="617"/>
      <c r="U21" s="617"/>
      <c r="V21" s="617"/>
      <c r="W21" s="617"/>
    </row>
    <row r="22" spans="1:23">
      <c r="A22">
        <f>+A20+1</f>
        <v>6</v>
      </c>
      <c r="B22" s="354" t="s">
        <v>906</v>
      </c>
      <c r="C22" s="354"/>
      <c r="D22" s="354"/>
      <c r="E22" s="354"/>
      <c r="F22" s="470"/>
      <c r="G22" s="470"/>
      <c r="H22" s="470"/>
      <c r="I22" s="470"/>
      <c r="J22" s="470"/>
      <c r="K22" s="470"/>
      <c r="L22" s="354"/>
      <c r="M22" s="354"/>
      <c r="S22" s="617"/>
      <c r="T22" s="617"/>
      <c r="U22" s="617"/>
      <c r="V22" s="617"/>
      <c r="W22" s="617">
        <f>+W20+V20</f>
        <v>-1342261.4652957532</v>
      </c>
    </row>
    <row r="23" spans="1:23">
      <c r="B23" s="354"/>
      <c r="C23" s="354"/>
      <c r="D23" s="354"/>
      <c r="E23" s="354"/>
      <c r="F23" s="709"/>
      <c r="G23" s="495"/>
      <c r="H23" s="709"/>
      <c r="I23" s="495"/>
      <c r="J23" s="354"/>
      <c r="K23" s="354"/>
      <c r="L23" s="354"/>
      <c r="M23" s="354"/>
    </row>
    <row r="24" spans="1:23">
      <c r="B24" s="354"/>
      <c r="C24" s="354"/>
      <c r="D24" s="354"/>
      <c r="E24" s="354"/>
      <c r="F24" s="613"/>
      <c r="G24" s="613"/>
      <c r="H24" s="613"/>
      <c r="I24" s="613"/>
      <c r="J24" s="613"/>
      <c r="K24" s="613"/>
      <c r="L24" s="613"/>
      <c r="M24" s="620"/>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127"/>
  <sheetViews>
    <sheetView zoomScale="90" zoomScaleNormal="90" zoomScaleSheetLayoutView="90" workbookViewId="0">
      <selection activeCell="K23" sqref="K23"/>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8" max="8" width="19" customWidth="1"/>
    <col min="9" max="9" width="19.7109375" customWidth="1"/>
  </cols>
  <sheetData>
    <row r="1" spans="1:9" ht="18">
      <c r="A1" s="936" t="str">
        <f>+'9 - Excess ADIT'!I2</f>
        <v>Dayton Power and Light</v>
      </c>
      <c r="B1" s="936"/>
      <c r="C1" s="936"/>
      <c r="D1" s="936"/>
      <c r="E1" s="936"/>
      <c r="F1" s="936"/>
      <c r="G1" s="936"/>
    </row>
    <row r="2" spans="1:9" ht="18">
      <c r="A2" s="891" t="str">
        <f>+'9 - Excess ADIT'!I3</f>
        <v xml:space="preserve">ATTACHMENT H-15A </v>
      </c>
      <c r="B2" s="891"/>
      <c r="C2" s="891"/>
      <c r="D2" s="891"/>
      <c r="E2" s="891"/>
      <c r="F2" s="891"/>
      <c r="G2" s="891"/>
    </row>
    <row r="3" spans="1:9" ht="18">
      <c r="A3" s="937" t="s">
        <v>1020</v>
      </c>
      <c r="B3" s="937"/>
      <c r="C3" s="937"/>
      <c r="D3" s="937"/>
      <c r="E3" s="937"/>
      <c r="F3" s="937"/>
      <c r="G3" s="937"/>
    </row>
    <row r="4" spans="1:9" ht="59.45" customHeight="1">
      <c r="A4" s="154"/>
      <c r="B4" s="45"/>
      <c r="C4" s="45"/>
      <c r="D4" s="45"/>
      <c r="E4" s="45"/>
      <c r="F4" s="522"/>
      <c r="G4" s="517"/>
      <c r="I4" s="627"/>
    </row>
    <row r="5" spans="1:9" ht="15.75">
      <c r="A5" s="154"/>
      <c r="B5" s="45"/>
      <c r="C5" s="45"/>
      <c r="D5" s="45"/>
      <c r="E5" s="45"/>
      <c r="F5" s="45"/>
      <c r="G5" s="517"/>
    </row>
    <row r="6" spans="1:9" ht="15.75">
      <c r="A6" s="154"/>
      <c r="B6" s="45" t="s">
        <v>411</v>
      </c>
      <c r="C6" s="45"/>
      <c r="D6" s="45"/>
      <c r="E6" s="45"/>
      <c r="F6" s="45"/>
      <c r="G6" s="517"/>
    </row>
    <row r="7" spans="1:9" ht="15.75">
      <c r="A7" s="521"/>
      <c r="B7" s="170"/>
      <c r="C7" s="521"/>
      <c r="D7" s="520" t="s">
        <v>336</v>
      </c>
      <c r="E7" s="521"/>
      <c r="F7" s="520" t="s">
        <v>337</v>
      </c>
      <c r="G7" s="524"/>
      <c r="H7" s="880" t="s">
        <v>338</v>
      </c>
    </row>
    <row r="8" spans="1:9" ht="15.75">
      <c r="A8" s="45"/>
      <c r="B8" s="45"/>
      <c r="C8" s="45"/>
      <c r="D8" s="45"/>
      <c r="E8" s="45"/>
      <c r="F8" s="59" t="s">
        <v>907</v>
      </c>
      <c r="G8" s="516"/>
      <c r="H8" s="59" t="s">
        <v>907</v>
      </c>
    </row>
    <row r="9" spans="1:9" ht="15.75">
      <c r="A9" s="45"/>
      <c r="B9" s="45"/>
      <c r="C9" s="45"/>
      <c r="D9" s="59" t="s">
        <v>908</v>
      </c>
      <c r="E9" s="45"/>
      <c r="F9" s="519">
        <v>2020</v>
      </c>
      <c r="G9" s="517"/>
      <c r="H9" s="519">
        <v>2021</v>
      </c>
    </row>
    <row r="10" spans="1:9" ht="15.75">
      <c r="A10" s="59" t="s">
        <v>829</v>
      </c>
      <c r="B10" s="45"/>
      <c r="C10" s="45"/>
      <c r="D10" s="59" t="s">
        <v>909</v>
      </c>
      <c r="E10" s="45"/>
      <c r="F10" s="59" t="s">
        <v>908</v>
      </c>
      <c r="G10" s="517"/>
      <c r="H10" s="59" t="s">
        <v>908</v>
      </c>
    </row>
    <row r="11" spans="1:9" ht="15.75">
      <c r="A11" s="53" t="s">
        <v>910</v>
      </c>
      <c r="B11" s="52" t="s">
        <v>773</v>
      </c>
      <c r="C11" s="53" t="s">
        <v>911</v>
      </c>
      <c r="D11" s="53" t="s">
        <v>912</v>
      </c>
      <c r="E11" s="45"/>
      <c r="F11" s="53" t="s">
        <v>913</v>
      </c>
      <c r="G11" s="517"/>
      <c r="H11" s="53" t="s">
        <v>913</v>
      </c>
    </row>
    <row r="12" spans="1:9" ht="15.75">
      <c r="A12" s="45"/>
      <c r="B12" s="45"/>
      <c r="C12" s="45"/>
      <c r="D12" s="45"/>
      <c r="E12" s="45"/>
      <c r="F12" s="53"/>
      <c r="G12" s="517"/>
      <c r="H12" s="53"/>
    </row>
    <row r="13" spans="1:9" ht="15.75">
      <c r="A13" s="518">
        <v>1</v>
      </c>
      <c r="B13" s="515" t="s">
        <v>914</v>
      </c>
      <c r="C13" s="530"/>
      <c r="D13" s="5"/>
      <c r="E13" s="5"/>
      <c r="F13" s="514"/>
      <c r="G13" s="517"/>
      <c r="H13" s="514"/>
    </row>
    <row r="14" spans="1:9" ht="15.75">
      <c r="A14" s="518">
        <f>+A13+1</f>
        <v>2</v>
      </c>
      <c r="B14" s="45" t="s">
        <v>915</v>
      </c>
      <c r="C14" s="530"/>
      <c r="D14" s="5"/>
      <c r="E14" s="5"/>
      <c r="F14" s="625">
        <v>42432002</v>
      </c>
      <c r="G14" s="517"/>
      <c r="H14" s="625">
        <v>47857326</v>
      </c>
    </row>
    <row r="15" spans="1:9" ht="15.75">
      <c r="A15" s="518"/>
      <c r="B15" s="45"/>
      <c r="C15" s="45"/>
      <c r="D15" s="5"/>
      <c r="E15" s="5"/>
      <c r="F15" s="564"/>
      <c r="G15" s="517"/>
      <c r="H15" s="564"/>
    </row>
    <row r="16" spans="1:9" ht="15.75">
      <c r="A16" s="518">
        <f>+A14+1</f>
        <v>3</v>
      </c>
      <c r="B16" s="525" t="s">
        <v>916</v>
      </c>
      <c r="C16" s="530"/>
      <c r="D16" s="531"/>
      <c r="E16" s="5"/>
      <c r="F16" s="565">
        <v>1008645</v>
      </c>
      <c r="G16" s="517"/>
      <c r="H16" s="565">
        <v>0</v>
      </c>
    </row>
    <row r="17" spans="1:9" ht="15.75">
      <c r="A17" s="518">
        <f t="shared" ref="A17:A27" si="0">+A16+1</f>
        <v>4</v>
      </c>
      <c r="B17" s="525" t="s">
        <v>917</v>
      </c>
      <c r="C17" s="530"/>
      <c r="D17" s="531"/>
      <c r="E17" s="5"/>
      <c r="F17" s="625">
        <v>0</v>
      </c>
      <c r="G17" s="517"/>
      <c r="H17" s="625">
        <v>545274</v>
      </c>
    </row>
    <row r="18" spans="1:9" ht="15.75">
      <c r="A18" s="518"/>
      <c r="B18" s="45"/>
      <c r="C18" s="45"/>
      <c r="D18" s="354"/>
      <c r="E18" s="5"/>
      <c r="F18" s="564"/>
      <c r="G18" s="517"/>
      <c r="H18" s="564"/>
    </row>
    <row r="19" spans="1:9" ht="15.75">
      <c r="A19" s="518">
        <f>+A17+1</f>
        <v>5</v>
      </c>
      <c r="B19" s="45" t="s">
        <v>918</v>
      </c>
      <c r="C19" s="45" t="str">
        <f>"(Line "&amp;A16&amp;" + Line "&amp;A17&amp;")"</f>
        <v>(Line 3 + Line 4)</v>
      </c>
      <c r="D19" s="354"/>
      <c r="E19" s="5"/>
      <c r="F19" s="626">
        <f>+F16+F17</f>
        <v>1008645</v>
      </c>
      <c r="G19" s="517"/>
      <c r="H19" s="626">
        <f>+H16+H17</f>
        <v>545274</v>
      </c>
    </row>
    <row r="20" spans="1:9" ht="15.75">
      <c r="A20" s="518"/>
      <c r="B20" s="45"/>
      <c r="C20" s="45"/>
      <c r="D20" s="5"/>
      <c r="E20" s="5"/>
      <c r="F20" s="564"/>
      <c r="G20" s="517"/>
      <c r="H20" s="564"/>
    </row>
    <row r="21" spans="1:9" ht="15.75">
      <c r="A21" s="518">
        <f>+A19+1</f>
        <v>6</v>
      </c>
      <c r="B21" s="45" t="s">
        <v>919</v>
      </c>
      <c r="C21" s="45" t="str">
        <f>"(Line "&amp;A14&amp;" + Line "&amp;A19&amp;")"</f>
        <v>(Line 2 + Line 5)</v>
      </c>
      <c r="D21" s="5"/>
      <c r="E21" s="5"/>
      <c r="F21" s="564">
        <f>+F14+F19</f>
        <v>43440647</v>
      </c>
      <c r="G21" s="517"/>
      <c r="H21" s="564">
        <f>+H14+H19</f>
        <v>48402600</v>
      </c>
    </row>
    <row r="22" spans="1:9" ht="15.75">
      <c r="A22" s="518"/>
      <c r="B22" s="45"/>
      <c r="C22" s="45"/>
      <c r="D22" s="5"/>
      <c r="E22" s="5"/>
      <c r="F22" s="564"/>
      <c r="G22" s="517"/>
      <c r="H22" s="564"/>
    </row>
    <row r="23" spans="1:9" ht="15.75">
      <c r="A23" s="518">
        <f>+A21+1</f>
        <v>7</v>
      </c>
      <c r="B23" s="45" t="s">
        <v>918</v>
      </c>
      <c r="C23" s="45" t="str">
        <f>"(Line "&amp;A19&amp;")"</f>
        <v>(Line 5)</v>
      </c>
      <c r="D23" s="5"/>
      <c r="E23" s="5"/>
      <c r="F23" s="564">
        <f>+F19*0.6658</f>
        <v>671555.8409999999</v>
      </c>
      <c r="G23" s="517"/>
      <c r="H23" s="564">
        <f>+H19</f>
        <v>545274</v>
      </c>
      <c r="I23" s="831">
        <f>+F23+H23</f>
        <v>1216829.841</v>
      </c>
    </row>
    <row r="24" spans="1:9" ht="15.75">
      <c r="A24" s="518"/>
      <c r="B24" s="45"/>
      <c r="C24" s="45"/>
      <c r="D24" s="45"/>
      <c r="E24" s="45"/>
      <c r="F24" s="45"/>
      <c r="G24" s="517"/>
      <c r="H24" s="45"/>
    </row>
    <row r="25" spans="1:9" ht="15.75">
      <c r="A25" s="518">
        <f>+A23+1</f>
        <v>8</v>
      </c>
      <c r="B25" s="45" t="s">
        <v>920</v>
      </c>
      <c r="C25" s="45" t="s">
        <v>753</v>
      </c>
      <c r="D25" s="45"/>
      <c r="E25" s="45"/>
      <c r="F25" s="513">
        <f>+C93</f>
        <v>4.562499999999998E-3</v>
      </c>
      <c r="G25" s="517"/>
      <c r="H25" s="513">
        <f>+C94</f>
        <v>4.806249999999998E-3</v>
      </c>
    </row>
    <row r="26" spans="1:9" ht="15.75">
      <c r="A26" s="518">
        <f t="shared" si="0"/>
        <v>9</v>
      </c>
      <c r="B26" s="45" t="s">
        <v>921</v>
      </c>
      <c r="C26" s="45" t="s">
        <v>922</v>
      </c>
      <c r="D26" s="45"/>
      <c r="E26" s="45"/>
      <c r="F26" s="565">
        <v>46</v>
      </c>
      <c r="G26" s="517"/>
      <c r="H26" s="565">
        <v>36</v>
      </c>
    </row>
    <row r="27" spans="1:9" ht="15.75">
      <c r="A27" s="518">
        <f t="shared" si="0"/>
        <v>10</v>
      </c>
      <c r="B27" s="45" t="s">
        <v>923</v>
      </c>
      <c r="C27" s="45" t="s">
        <v>924</v>
      </c>
      <c r="D27" s="45"/>
      <c r="E27" s="45"/>
      <c r="F27" s="626">
        <f>+F23*F25*F26</f>
        <v>140942.78212987492</v>
      </c>
      <c r="G27" s="517"/>
      <c r="H27" s="626">
        <f>+H23*H25*H26</f>
        <v>94346.033849999963</v>
      </c>
      <c r="I27" s="881">
        <f>+F27+H27</f>
        <v>235288.81597987487</v>
      </c>
    </row>
    <row r="28" spans="1:9" ht="15.75">
      <c r="A28" s="518"/>
      <c r="B28" s="45"/>
      <c r="C28" s="45"/>
      <c r="D28" s="45"/>
      <c r="E28" s="45"/>
      <c r="F28" s="342"/>
      <c r="G28" s="517"/>
      <c r="H28" s="342"/>
    </row>
    <row r="29" spans="1:9" ht="15.75">
      <c r="A29" s="518">
        <f>+A27+1</f>
        <v>11</v>
      </c>
      <c r="B29" s="45" t="s">
        <v>925</v>
      </c>
      <c r="C29" s="45" t="s">
        <v>926</v>
      </c>
      <c r="D29" s="45"/>
      <c r="E29" s="45"/>
      <c r="F29" s="564">
        <f>+F23+F27</f>
        <v>812498.62312987482</v>
      </c>
      <c r="G29" s="517"/>
      <c r="H29" s="564">
        <f>+H23+H27</f>
        <v>639620.03385000001</v>
      </c>
      <c r="I29" s="831">
        <f>+F29+H29</f>
        <v>1452118.6569798747</v>
      </c>
    </row>
    <row r="30" spans="1:9" ht="15.75">
      <c r="A30" s="518"/>
      <c r="B30" s="45"/>
      <c r="C30" s="45"/>
      <c r="D30" s="45"/>
      <c r="E30" s="45"/>
      <c r="F30" s="45"/>
      <c r="G30" s="517"/>
    </row>
    <row r="31" spans="1:9" ht="15.75">
      <c r="A31" s="45"/>
      <c r="B31" s="45"/>
      <c r="C31" s="45"/>
      <c r="D31" s="45"/>
      <c r="E31" s="45"/>
      <c r="F31" s="45" t="s">
        <v>990</v>
      </c>
      <c r="G31" s="517"/>
    </row>
    <row r="32" spans="1:9" ht="15.75">
      <c r="A32" s="496" t="s">
        <v>927</v>
      </c>
      <c r="B32" s="45"/>
      <c r="C32" s="45"/>
      <c r="D32" s="45"/>
      <c r="E32" s="45"/>
      <c r="F32" s="45"/>
      <c r="G32" s="517"/>
    </row>
    <row r="33" spans="1:7" ht="43.9" customHeight="1">
      <c r="A33" s="512" t="s">
        <v>207</v>
      </c>
      <c r="B33" s="935" t="s">
        <v>928</v>
      </c>
      <c r="C33" s="935"/>
      <c r="D33" s="935"/>
      <c r="E33" s="935"/>
      <c r="F33" s="935"/>
      <c r="G33" s="523"/>
    </row>
    <row r="34" spans="1:7" ht="54" customHeight="1">
      <c r="A34" s="512" t="s">
        <v>209</v>
      </c>
      <c r="B34" s="935" t="s">
        <v>929</v>
      </c>
      <c r="C34" s="935"/>
      <c r="D34" s="935"/>
      <c r="E34" s="935"/>
      <c r="F34" s="935"/>
      <c r="G34" s="523"/>
    </row>
    <row r="35" spans="1:7">
      <c r="A35" s="354"/>
      <c r="B35" s="354"/>
      <c r="C35" s="354"/>
      <c r="D35" s="354"/>
      <c r="E35" s="354"/>
      <c r="F35" s="354"/>
    </row>
    <row r="36" spans="1:7">
      <c r="A36" s="354"/>
      <c r="B36" s="870" t="s">
        <v>991</v>
      </c>
      <c r="C36" s="354"/>
      <c r="D36" s="354"/>
      <c r="E36" s="354"/>
      <c r="F36" s="354"/>
    </row>
    <row r="37" spans="1:7">
      <c r="A37" s="354"/>
      <c r="B37" s="846">
        <v>43952</v>
      </c>
      <c r="C37" s="181">
        <v>4.0000000000000001E-3</v>
      </c>
      <c r="D37" s="354"/>
      <c r="E37" s="354"/>
      <c r="F37" s="354"/>
    </row>
    <row r="38" spans="1:7">
      <c r="A38" s="354"/>
      <c r="B38" s="846">
        <f>+B37+31</f>
        <v>43983</v>
      </c>
      <c r="C38" s="181">
        <v>3.8999999999999998E-3</v>
      </c>
      <c r="D38" s="354"/>
      <c r="E38" s="354"/>
      <c r="F38" s="354"/>
    </row>
    <row r="39" spans="1:7">
      <c r="A39" s="354"/>
      <c r="B39" s="846">
        <f t="shared" ref="B39:B92" si="1">+B38+31</f>
        <v>44014</v>
      </c>
      <c r="C39" s="181">
        <v>2.8999999999999998E-3</v>
      </c>
      <c r="D39" s="354"/>
      <c r="E39" s="354"/>
      <c r="F39" s="354"/>
    </row>
    <row r="40" spans="1:7">
      <c r="A40" s="354"/>
      <c r="B40" s="846">
        <f t="shared" si="1"/>
        <v>44045</v>
      </c>
      <c r="C40" s="181">
        <v>2.8999999999999998E-3</v>
      </c>
      <c r="D40" s="354"/>
      <c r="E40" s="354"/>
      <c r="F40" s="354"/>
    </row>
    <row r="41" spans="1:7">
      <c r="A41" s="354"/>
      <c r="B41" s="846">
        <f t="shared" si="1"/>
        <v>44076</v>
      </c>
      <c r="C41" s="181">
        <v>2.8E-3</v>
      </c>
      <c r="D41" s="354"/>
      <c r="E41" s="354"/>
      <c r="F41" s="354"/>
    </row>
    <row r="42" spans="1:7">
      <c r="A42" s="354"/>
      <c r="B42" s="846">
        <f t="shared" si="1"/>
        <v>44107</v>
      </c>
      <c r="C42" s="181">
        <v>2.8E-3</v>
      </c>
      <c r="D42" s="354"/>
      <c r="E42" s="354"/>
      <c r="F42" s="354"/>
    </row>
    <row r="43" spans="1:7">
      <c r="A43" s="354"/>
      <c r="B43" s="846">
        <f t="shared" si="1"/>
        <v>44138</v>
      </c>
      <c r="C43" s="181">
        <v>2.7000000000000001E-3</v>
      </c>
      <c r="D43" s="354"/>
      <c r="E43" s="354"/>
      <c r="F43" s="354"/>
    </row>
    <row r="44" spans="1:7">
      <c r="A44" s="354"/>
      <c r="B44" s="846">
        <f t="shared" si="1"/>
        <v>44169</v>
      </c>
      <c r="C44" s="181">
        <v>2.8E-3</v>
      </c>
      <c r="D44" s="354"/>
      <c r="E44" s="354"/>
      <c r="F44" s="354"/>
    </row>
    <row r="45" spans="1:7">
      <c r="A45" s="354"/>
      <c r="B45" s="846">
        <f t="shared" si="1"/>
        <v>44200</v>
      </c>
      <c r="C45" s="181">
        <v>2.8E-3</v>
      </c>
      <c r="D45" s="354"/>
      <c r="E45" s="354"/>
      <c r="F45" s="354"/>
    </row>
    <row r="46" spans="1:7">
      <c r="B46" s="846">
        <f t="shared" si="1"/>
        <v>44231</v>
      </c>
      <c r="C46" s="650">
        <v>2.5000000000000001E-3</v>
      </c>
    </row>
    <row r="47" spans="1:7">
      <c r="B47" s="846">
        <f t="shared" si="1"/>
        <v>44262</v>
      </c>
      <c r="C47" s="650">
        <v>2.8E-3</v>
      </c>
    </row>
    <row r="48" spans="1:7">
      <c r="B48" s="846">
        <f t="shared" si="1"/>
        <v>44293</v>
      </c>
      <c r="C48" s="650">
        <v>2.7000000000000001E-3</v>
      </c>
    </row>
    <row r="49" spans="2:3">
      <c r="B49" s="846">
        <f t="shared" si="1"/>
        <v>44324</v>
      </c>
      <c r="C49" s="650">
        <v>2.8E-3</v>
      </c>
    </row>
    <row r="50" spans="2:3">
      <c r="B50" s="846">
        <f t="shared" si="1"/>
        <v>44355</v>
      </c>
      <c r="C50" s="650">
        <v>2.7000000000000001E-3</v>
      </c>
    </row>
    <row r="51" spans="2:3">
      <c r="B51" s="846">
        <f t="shared" si="1"/>
        <v>44386</v>
      </c>
      <c r="C51" s="650">
        <v>2.8E-3</v>
      </c>
    </row>
    <row r="52" spans="2:3">
      <c r="B52" s="846">
        <f t="shared" si="1"/>
        <v>44417</v>
      </c>
      <c r="C52" s="650">
        <v>2.8E-3</v>
      </c>
    </row>
    <row r="53" spans="2:3">
      <c r="B53" s="846">
        <f t="shared" si="1"/>
        <v>44448</v>
      </c>
      <c r="C53" s="650">
        <v>2.7000000000000001E-3</v>
      </c>
    </row>
    <row r="54" spans="2:3">
      <c r="B54" s="846">
        <f t="shared" si="1"/>
        <v>44479</v>
      </c>
      <c r="C54" s="650">
        <v>2.8E-3</v>
      </c>
    </row>
    <row r="55" spans="2:3">
      <c r="B55" s="846">
        <f t="shared" si="1"/>
        <v>44510</v>
      </c>
      <c r="C55" s="650">
        <v>2.7000000000000001E-3</v>
      </c>
    </row>
    <row r="56" spans="2:3">
      <c r="B56" s="846">
        <f t="shared" si="1"/>
        <v>44541</v>
      </c>
      <c r="C56" s="650">
        <v>2.8E-3</v>
      </c>
    </row>
    <row r="57" spans="2:3">
      <c r="B57" s="846">
        <f t="shared" si="1"/>
        <v>44572</v>
      </c>
      <c r="C57" s="650">
        <v>2.8E-3</v>
      </c>
    </row>
    <row r="58" spans="2:3">
      <c r="B58" s="846">
        <f t="shared" si="1"/>
        <v>44603</v>
      </c>
      <c r="C58" s="650">
        <v>2.5000000000000001E-3</v>
      </c>
    </row>
    <row r="59" spans="2:3">
      <c r="B59" s="846">
        <f t="shared" si="1"/>
        <v>44634</v>
      </c>
      <c r="C59" s="650">
        <v>2.8E-3</v>
      </c>
    </row>
    <row r="60" spans="2:3">
      <c r="B60" s="846">
        <f t="shared" si="1"/>
        <v>44665</v>
      </c>
      <c r="C60" s="650">
        <v>2.7000000000000001E-3</v>
      </c>
    </row>
    <row r="61" spans="2:3">
      <c r="B61" s="846">
        <f t="shared" si="1"/>
        <v>44696</v>
      </c>
      <c r="C61" s="650">
        <v>2.8E-3</v>
      </c>
    </row>
    <row r="62" spans="2:3">
      <c r="B62" s="846">
        <f t="shared" si="1"/>
        <v>44727</v>
      </c>
      <c r="C62" s="650">
        <v>2.7000000000000001E-3</v>
      </c>
    </row>
    <row r="63" spans="2:3">
      <c r="B63" s="846">
        <f t="shared" si="1"/>
        <v>44758</v>
      </c>
      <c r="C63" s="650">
        <v>3.0999999999999999E-3</v>
      </c>
    </row>
    <row r="64" spans="2:3">
      <c r="B64" s="846">
        <f>+B63+31</f>
        <v>44789</v>
      </c>
      <c r="C64" s="650">
        <v>3.0999999999999999E-3</v>
      </c>
    </row>
    <row r="65" spans="2:3">
      <c r="B65" s="846">
        <f t="shared" si="1"/>
        <v>44820</v>
      </c>
      <c r="C65" s="650">
        <v>3.0000000000000001E-3</v>
      </c>
    </row>
    <row r="66" spans="2:3">
      <c r="B66" s="846">
        <f t="shared" si="1"/>
        <v>44851</v>
      </c>
      <c r="C66" s="650">
        <v>4.1999999999999997E-3</v>
      </c>
    </row>
    <row r="67" spans="2:3">
      <c r="B67" s="846">
        <f t="shared" si="1"/>
        <v>44882</v>
      </c>
      <c r="C67" s="181">
        <v>4.0000000000000001E-3</v>
      </c>
    </row>
    <row r="68" spans="2:3">
      <c r="B68" s="846">
        <f t="shared" si="1"/>
        <v>44913</v>
      </c>
      <c r="C68" s="650">
        <v>4.1999999999999997E-3</v>
      </c>
    </row>
    <row r="69" spans="2:3">
      <c r="B69" s="846">
        <f t="shared" si="1"/>
        <v>44944</v>
      </c>
      <c r="C69" s="650">
        <v>5.4000000000000003E-3</v>
      </c>
    </row>
    <row r="70" spans="2:3">
      <c r="B70" s="846">
        <f t="shared" si="1"/>
        <v>44975</v>
      </c>
      <c r="C70" s="650">
        <v>4.7999999999999996E-3</v>
      </c>
    </row>
    <row r="71" spans="2:3">
      <c r="B71" s="846">
        <f t="shared" si="1"/>
        <v>45006</v>
      </c>
      <c r="C71" s="650">
        <v>5.4000000000000003E-3</v>
      </c>
    </row>
    <row r="72" spans="2:3">
      <c r="B72" s="846">
        <f t="shared" si="1"/>
        <v>45037</v>
      </c>
      <c r="C72" s="650">
        <v>6.1999999999999998E-3</v>
      </c>
    </row>
    <row r="73" spans="2:3">
      <c r="B73" s="846">
        <f t="shared" si="1"/>
        <v>45068</v>
      </c>
      <c r="C73" s="650">
        <v>6.4000000000000003E-3</v>
      </c>
    </row>
    <row r="74" spans="2:3">
      <c r="B74" s="846">
        <f>+B73+31</f>
        <v>45099</v>
      </c>
      <c r="C74" s="650">
        <v>6.1999999999999998E-3</v>
      </c>
    </row>
    <row r="75" spans="2:3">
      <c r="B75" s="846">
        <f t="shared" si="1"/>
        <v>45130</v>
      </c>
      <c r="C75" s="650">
        <v>6.7999999999999996E-3</v>
      </c>
    </row>
    <row r="76" spans="2:3">
      <c r="B76" s="846">
        <f t="shared" si="1"/>
        <v>45161</v>
      </c>
      <c r="C76" s="650">
        <v>6.7999999999999996E-3</v>
      </c>
    </row>
    <row r="77" spans="2:3">
      <c r="B77" s="846">
        <f t="shared" si="1"/>
        <v>45192</v>
      </c>
      <c r="C77" s="650">
        <v>6.6E-3</v>
      </c>
    </row>
    <row r="78" spans="2:3">
      <c r="B78" s="846">
        <f t="shared" si="1"/>
        <v>45223</v>
      </c>
      <c r="C78" s="650">
        <v>7.1000000000000004E-3</v>
      </c>
    </row>
    <row r="79" spans="2:3">
      <c r="B79" s="846">
        <f t="shared" si="1"/>
        <v>45254</v>
      </c>
      <c r="C79" s="650">
        <v>6.8999999999999999E-3</v>
      </c>
    </row>
    <row r="80" spans="2:3">
      <c r="B80" s="846">
        <f t="shared" si="1"/>
        <v>45285</v>
      </c>
      <c r="C80" s="650">
        <f>+C78</f>
        <v>7.1000000000000004E-3</v>
      </c>
    </row>
    <row r="81" spans="2:4">
      <c r="B81" s="846">
        <f t="shared" si="1"/>
        <v>45316</v>
      </c>
      <c r="C81" s="650">
        <f>+C80</f>
        <v>7.1000000000000004E-3</v>
      </c>
    </row>
    <row r="82" spans="2:4">
      <c r="B82" s="846">
        <f t="shared" si="1"/>
        <v>45347</v>
      </c>
      <c r="C82" s="650">
        <f>+C79</f>
        <v>6.8999999999999999E-3</v>
      </c>
    </row>
    <row r="83" spans="2:4">
      <c r="B83" s="846">
        <f>+B82+31</f>
        <v>45378</v>
      </c>
      <c r="C83" s="650">
        <f>+C81</f>
        <v>7.1000000000000004E-3</v>
      </c>
    </row>
    <row r="84" spans="2:4">
      <c r="B84" s="846">
        <f t="shared" si="1"/>
        <v>45409</v>
      </c>
      <c r="C84" s="650">
        <f>+C79</f>
        <v>6.8999999999999999E-3</v>
      </c>
    </row>
    <row r="85" spans="2:4">
      <c r="B85" s="846">
        <f t="shared" si="1"/>
        <v>45440</v>
      </c>
      <c r="C85" s="650">
        <f>+C83</f>
        <v>7.1000000000000004E-3</v>
      </c>
    </row>
    <row r="86" spans="2:4">
      <c r="B86" s="846">
        <f t="shared" si="1"/>
        <v>45471</v>
      </c>
      <c r="C86" s="650">
        <f>+C84</f>
        <v>6.8999999999999999E-3</v>
      </c>
    </row>
    <row r="87" spans="2:4">
      <c r="B87" s="846">
        <f t="shared" si="1"/>
        <v>45502</v>
      </c>
      <c r="C87" s="650">
        <f>+C85</f>
        <v>7.1000000000000004E-3</v>
      </c>
    </row>
    <row r="88" spans="2:4">
      <c r="B88" s="846">
        <f t="shared" si="1"/>
        <v>45533</v>
      </c>
      <c r="C88" s="650">
        <f>+C87</f>
        <v>7.1000000000000004E-3</v>
      </c>
    </row>
    <row r="89" spans="2:4">
      <c r="B89" s="846">
        <f t="shared" si="1"/>
        <v>45564</v>
      </c>
      <c r="C89" s="650">
        <f>+C86</f>
        <v>6.8999999999999999E-3</v>
      </c>
    </row>
    <row r="90" spans="2:4">
      <c r="B90" s="846">
        <f t="shared" si="1"/>
        <v>45595</v>
      </c>
      <c r="C90" s="650">
        <f>+C88</f>
        <v>7.1000000000000004E-3</v>
      </c>
    </row>
    <row r="91" spans="2:4">
      <c r="B91" s="846">
        <f t="shared" si="1"/>
        <v>45626</v>
      </c>
      <c r="C91" s="650">
        <f>+C89</f>
        <v>6.8999999999999999E-3</v>
      </c>
    </row>
    <row r="92" spans="2:4">
      <c r="B92" s="846">
        <f t="shared" si="1"/>
        <v>45657</v>
      </c>
      <c r="C92" s="650">
        <f>+C90</f>
        <v>7.1000000000000004E-3</v>
      </c>
      <c r="D92" s="650"/>
    </row>
    <row r="93" spans="2:4">
      <c r="B93" s="354" t="s">
        <v>992</v>
      </c>
      <c r="C93" s="650">
        <f>+AVERAGE(C37:C92)</f>
        <v>4.562499999999998E-3</v>
      </c>
    </row>
    <row r="94" spans="2:4">
      <c r="B94" s="354" t="s">
        <v>993</v>
      </c>
      <c r="C94" s="650">
        <f>+AVERAGE(C45:C92)</f>
        <v>4.806249999999998E-3</v>
      </c>
    </row>
    <row r="95" spans="2:4">
      <c r="C95" s="650"/>
    </row>
    <row r="96" spans="2:4">
      <c r="C96" s="650"/>
    </row>
    <row r="97" spans="3:3">
      <c r="C97" s="650"/>
    </row>
    <row r="98" spans="3:3">
      <c r="C98" s="650"/>
    </row>
    <row r="99" spans="3:3">
      <c r="C99" s="650"/>
    </row>
    <row r="100" spans="3:3">
      <c r="C100" s="650"/>
    </row>
    <row r="101" spans="3:3">
      <c r="C101" s="650"/>
    </row>
    <row r="102" spans="3:3">
      <c r="C102" s="650"/>
    </row>
    <row r="103" spans="3:3">
      <c r="C103" s="650"/>
    </row>
    <row r="104" spans="3:3">
      <c r="C104" s="650"/>
    </row>
    <row r="105" spans="3:3">
      <c r="C105" s="650"/>
    </row>
    <row r="106" spans="3:3">
      <c r="C106" s="650"/>
    </row>
    <row r="107" spans="3:3">
      <c r="C107" s="650"/>
    </row>
    <row r="108" spans="3:3">
      <c r="C108" s="650"/>
    </row>
    <row r="109" spans="3:3">
      <c r="C109" s="650"/>
    </row>
    <row r="110" spans="3:3">
      <c r="C110" s="650"/>
    </row>
    <row r="111" spans="3:3">
      <c r="C111" s="650"/>
    </row>
    <row r="112" spans="3:3">
      <c r="C112" s="650"/>
    </row>
    <row r="113" spans="3:3">
      <c r="C113" s="650"/>
    </row>
    <row r="114" spans="3:3">
      <c r="C114" s="650"/>
    </row>
    <row r="115" spans="3:3">
      <c r="C115" s="650"/>
    </row>
    <row r="116" spans="3:3">
      <c r="C116" s="650"/>
    </row>
    <row r="117" spans="3:3">
      <c r="C117" s="650"/>
    </row>
    <row r="118" spans="3:3">
      <c r="C118" s="650"/>
    </row>
    <row r="119" spans="3:3">
      <c r="C119" s="650"/>
    </row>
    <row r="120" spans="3:3">
      <c r="C120" s="650"/>
    </row>
    <row r="121" spans="3:3">
      <c r="C121" s="650"/>
    </row>
    <row r="122" spans="3:3">
      <c r="C122" s="650"/>
    </row>
    <row r="123" spans="3:3">
      <c r="C123" s="650"/>
    </row>
    <row r="124" spans="3:3">
      <c r="C124" s="650"/>
    </row>
    <row r="125" spans="3:3">
      <c r="C125" s="650"/>
    </row>
    <row r="126" spans="3:3">
      <c r="C126" s="650"/>
    </row>
    <row r="127" spans="3:3">
      <c r="C127" s="650"/>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N27"/>
  <sheetViews>
    <sheetView workbookViewId="0">
      <selection activeCell="F3" sqref="F3"/>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4" ht="18">
      <c r="F1" s="365" t="s">
        <v>0</v>
      </c>
      <c r="L1" s="354"/>
    </row>
    <row r="2" spans="1:14" ht="18">
      <c r="F2" s="365" t="s">
        <v>930</v>
      </c>
    </row>
    <row r="3" spans="1:14" ht="18">
      <c r="F3" s="365" t="s">
        <v>1021</v>
      </c>
    </row>
    <row r="5" spans="1:14">
      <c r="A5" s="354"/>
    </row>
    <row r="6" spans="1:14" ht="15">
      <c r="A6" s="45" t="s">
        <v>829</v>
      </c>
      <c r="B6" s="45"/>
      <c r="C6" s="45"/>
      <c r="D6" s="45"/>
      <c r="E6" s="45"/>
      <c r="F6" s="45"/>
      <c r="G6" s="45"/>
      <c r="H6" s="45"/>
      <c r="I6" s="45"/>
      <c r="J6" s="45"/>
      <c r="K6" s="45"/>
      <c r="L6" s="59" t="s">
        <v>931</v>
      </c>
      <c r="M6" s="59" t="s">
        <v>932</v>
      </c>
    </row>
    <row r="7" spans="1:14" ht="15">
      <c r="A7" s="45"/>
      <c r="B7" s="45" t="s">
        <v>757</v>
      </c>
      <c r="C7" s="45"/>
      <c r="D7" s="45"/>
      <c r="E7" s="45"/>
      <c r="F7" s="45"/>
      <c r="G7" s="45"/>
      <c r="H7" s="45"/>
      <c r="I7" s="45"/>
      <c r="J7" s="45"/>
      <c r="K7" s="45"/>
      <c r="L7" s="53" t="s">
        <v>933</v>
      </c>
      <c r="M7" s="53" t="s">
        <v>934</v>
      </c>
    </row>
    <row r="8" spans="1:14" ht="15">
      <c r="A8" s="59">
        <v>1</v>
      </c>
      <c r="B8" s="45"/>
      <c r="C8" s="45" t="s">
        <v>935</v>
      </c>
      <c r="D8" s="45"/>
      <c r="E8" s="45"/>
      <c r="F8" s="45"/>
      <c r="G8" s="45"/>
      <c r="H8" s="45"/>
      <c r="I8" s="45"/>
      <c r="J8" s="811">
        <v>17125</v>
      </c>
      <c r="K8" s="45"/>
      <c r="L8" s="59" t="s">
        <v>936</v>
      </c>
      <c r="M8" s="45">
        <v>561.1</v>
      </c>
    </row>
    <row r="9" spans="1:14" ht="15">
      <c r="A9" s="59"/>
      <c r="B9" s="45"/>
      <c r="C9" s="45"/>
      <c r="D9" s="45"/>
      <c r="E9" s="45"/>
      <c r="F9" s="45"/>
      <c r="G9" s="45"/>
      <c r="H9" s="45"/>
      <c r="I9" s="45"/>
      <c r="J9" s="342"/>
      <c r="K9" s="45"/>
      <c r="L9" s="59"/>
      <c r="M9" s="45"/>
    </row>
    <row r="10" spans="1:14" ht="15">
      <c r="A10" s="59">
        <f>+A8+1</f>
        <v>2</v>
      </c>
      <c r="B10" s="45"/>
      <c r="C10" s="45" t="s">
        <v>937</v>
      </c>
      <c r="D10" s="45"/>
      <c r="E10" s="45"/>
      <c r="F10" s="45"/>
      <c r="G10" s="45"/>
      <c r="H10" s="45"/>
      <c r="I10" s="45"/>
      <c r="J10" s="581">
        <v>378863</v>
      </c>
      <c r="K10" s="45"/>
      <c r="L10" s="59" t="s">
        <v>938</v>
      </c>
      <c r="M10" s="45">
        <v>561.20000000000005</v>
      </c>
    </row>
    <row r="11" spans="1:14" ht="15">
      <c r="A11" s="59"/>
      <c r="B11" s="45"/>
      <c r="C11" s="45"/>
      <c r="D11" s="45"/>
      <c r="E11" s="45"/>
      <c r="F11" s="45"/>
      <c r="G11" s="45"/>
      <c r="H11" s="45"/>
      <c r="I11" s="45"/>
      <c r="J11" s="342"/>
      <c r="K11" s="45"/>
      <c r="L11" s="59"/>
      <c r="M11" s="45"/>
    </row>
    <row r="12" spans="1:14" ht="15">
      <c r="A12" s="59">
        <f>+A10+1</f>
        <v>3</v>
      </c>
      <c r="B12" s="45"/>
      <c r="C12" s="45" t="s">
        <v>939</v>
      </c>
      <c r="D12" s="45"/>
      <c r="E12" s="45"/>
      <c r="F12" s="45"/>
      <c r="G12" s="45"/>
      <c r="H12" s="45"/>
      <c r="I12" s="45"/>
      <c r="J12" s="581">
        <v>0</v>
      </c>
      <c r="K12" s="45"/>
      <c r="L12" s="59" t="s">
        <v>940</v>
      </c>
      <c r="M12" s="45">
        <v>561.29999999999995</v>
      </c>
    </row>
    <row r="13" spans="1:14" ht="15">
      <c r="A13" s="59"/>
      <c r="B13" s="45"/>
      <c r="C13" s="45"/>
      <c r="D13" s="45"/>
      <c r="E13" s="45"/>
      <c r="F13" s="45"/>
      <c r="G13" s="45"/>
      <c r="H13" s="45"/>
      <c r="I13" s="45"/>
      <c r="J13" s="735"/>
      <c r="K13" s="45"/>
      <c r="L13" s="59"/>
      <c r="M13" s="45"/>
    </row>
    <row r="14" spans="1:14" ht="15">
      <c r="A14" s="59">
        <f>+A12+1</f>
        <v>4</v>
      </c>
      <c r="B14" s="45"/>
      <c r="C14" s="45" t="s">
        <v>983</v>
      </c>
      <c r="D14" s="45"/>
      <c r="E14" s="45"/>
      <c r="F14" s="45"/>
      <c r="G14" s="45"/>
      <c r="H14" s="45"/>
      <c r="I14" s="45"/>
      <c r="J14" s="812">
        <v>-94662.23</v>
      </c>
      <c r="K14" s="45"/>
      <c r="L14" s="59" t="s">
        <v>941</v>
      </c>
      <c r="M14" s="45"/>
      <c r="N14" s="354"/>
    </row>
    <row r="15" spans="1:14" ht="15">
      <c r="A15" s="59"/>
      <c r="B15" s="45"/>
      <c r="C15" s="45"/>
      <c r="D15" s="45"/>
      <c r="E15" s="45"/>
      <c r="F15" s="45"/>
      <c r="G15" s="45"/>
      <c r="H15" s="45"/>
      <c r="I15" s="45"/>
      <c r="J15" s="45"/>
      <c r="K15" s="45"/>
      <c r="L15" s="59"/>
      <c r="M15" s="45"/>
    </row>
    <row r="16" spans="1:14" ht="28.9" customHeight="1">
      <c r="A16" s="59">
        <f>+A14+1</f>
        <v>5</v>
      </c>
      <c r="B16" s="45"/>
      <c r="C16" s="45" t="s">
        <v>67</v>
      </c>
      <c r="D16" s="45"/>
      <c r="E16" s="45"/>
      <c r="F16" s="45"/>
      <c r="G16" s="45"/>
      <c r="H16" s="45"/>
      <c r="I16" s="45"/>
      <c r="J16" s="342">
        <f>+SUM(J8:J14)</f>
        <v>301325.77</v>
      </c>
      <c r="K16" s="45"/>
      <c r="L16" s="685" t="str">
        <f>"(Line "&amp;A8&amp;" + Line "&amp;A10&amp;" + Line "&amp;A12&amp;" + Line "&amp;A14&amp;")"</f>
        <v>(Line 1 + Line 2 + Line 3 + Line 4)</v>
      </c>
      <c r="M16" s="45"/>
    </row>
    <row r="17" spans="1:14" ht="15">
      <c r="A17" s="59"/>
      <c r="B17" s="45"/>
      <c r="C17" s="45"/>
      <c r="D17" s="45"/>
      <c r="E17" s="45"/>
      <c r="F17" s="45"/>
      <c r="G17" s="45"/>
      <c r="H17" s="45"/>
      <c r="I17" s="45"/>
      <c r="J17" s="342"/>
      <c r="K17" s="45"/>
      <c r="L17" s="59"/>
      <c r="M17" s="45"/>
    </row>
    <row r="18" spans="1:14" ht="135">
      <c r="A18" s="59">
        <f>+A16+1</f>
        <v>6</v>
      </c>
      <c r="B18" s="45" t="s">
        <v>942</v>
      </c>
      <c r="C18" s="45"/>
      <c r="D18" s="45"/>
      <c r="E18" s="45"/>
      <c r="F18" s="45"/>
      <c r="G18" s="45"/>
      <c r="H18" s="45"/>
      <c r="I18" s="45"/>
      <c r="J18" s="581">
        <v>13846695</v>
      </c>
      <c r="K18" s="45"/>
      <c r="L18" s="685" t="s">
        <v>987</v>
      </c>
      <c r="M18" s="45"/>
      <c r="N18" s="354"/>
    </row>
    <row r="19" spans="1:14" ht="15">
      <c r="A19" s="59"/>
      <c r="B19" s="45"/>
      <c r="C19" s="45"/>
      <c r="D19" s="45"/>
      <c r="E19" s="45"/>
      <c r="F19" s="45"/>
      <c r="G19" s="45"/>
      <c r="H19" s="45"/>
      <c r="I19" s="45"/>
      <c r="J19" s="45"/>
      <c r="K19" s="45"/>
      <c r="L19" s="59"/>
      <c r="M19" s="45"/>
    </row>
    <row r="20" spans="1:14" ht="15">
      <c r="A20" s="59">
        <f>+A18+1</f>
        <v>7</v>
      </c>
      <c r="B20" s="45" t="s">
        <v>943</v>
      </c>
      <c r="C20" s="45"/>
      <c r="D20" s="45"/>
      <c r="E20" s="45"/>
      <c r="F20" s="45"/>
      <c r="G20" s="45"/>
      <c r="H20" s="45"/>
      <c r="I20" s="45"/>
      <c r="J20" s="772">
        <f>+J16/J18</f>
        <v>2.1761566207676275E-2</v>
      </c>
      <c r="K20" s="45"/>
      <c r="L20" s="59" t="str">
        <f>"(Line "&amp;A16&amp;" / Line "&amp;A18&amp;")"</f>
        <v>(Line 5 / Line 6)</v>
      </c>
      <c r="M20" s="45"/>
    </row>
    <row r="21" spans="1:14" ht="15">
      <c r="A21" s="59"/>
      <c r="B21" s="45"/>
      <c r="C21" s="45"/>
      <c r="D21" s="45"/>
      <c r="E21" s="45"/>
      <c r="F21" s="45"/>
      <c r="G21" s="45"/>
      <c r="H21" s="45"/>
      <c r="I21" s="45"/>
      <c r="J21" s="45"/>
      <c r="K21" s="45"/>
      <c r="L21" s="45"/>
      <c r="M21" s="45"/>
    </row>
    <row r="22" spans="1:14">
      <c r="A22" s="398"/>
    </row>
    <row r="23" spans="1:14">
      <c r="A23" s="398"/>
    </row>
    <row r="24" spans="1:14">
      <c r="A24" s="398"/>
    </row>
    <row r="25" spans="1:14">
      <c r="A25" s="398"/>
    </row>
    <row r="26" spans="1:14">
      <c r="A26" s="398"/>
    </row>
    <row r="27" spans="1:14">
      <c r="A27" s="398"/>
    </row>
  </sheetData>
  <pageMargins left="0.7" right="0.7" top="0.75" bottom="0.75" header="0.3" footer="0.3"/>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zoomScale="70" zoomScaleNormal="70" workbookViewId="0">
      <selection activeCell="H18" sqref="H18"/>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93" t="str">
        <f>+'Appendix A'!A3</f>
        <v>Dayton Power and Light</v>
      </c>
      <c r="C1" s="893"/>
      <c r="D1" s="893"/>
      <c r="E1" s="893"/>
      <c r="F1" s="893"/>
      <c r="G1" s="893"/>
      <c r="H1" s="893"/>
      <c r="I1" s="893"/>
    </row>
    <row r="2" spans="1:9" ht="18">
      <c r="B2" s="893" t="s">
        <v>1</v>
      </c>
      <c r="C2" s="893"/>
      <c r="D2" s="893"/>
      <c r="E2" s="893"/>
      <c r="F2" s="893"/>
      <c r="G2" s="893"/>
      <c r="H2" s="893"/>
      <c r="I2" s="893"/>
    </row>
    <row r="3" spans="1:9" s="151" customFormat="1" ht="18">
      <c r="B3" s="893" t="s">
        <v>995</v>
      </c>
      <c r="C3" s="893"/>
      <c r="D3" s="893"/>
      <c r="E3" s="893"/>
      <c r="F3" s="893"/>
      <c r="G3" s="893"/>
      <c r="H3" s="893"/>
      <c r="I3" s="893"/>
    </row>
    <row r="5" spans="1:9" ht="18">
      <c r="B5" s="2"/>
      <c r="C5" s="1"/>
      <c r="D5" s="153" t="s">
        <v>254</v>
      </c>
      <c r="E5" s="153"/>
      <c r="G5" s="153"/>
      <c r="H5" s="153"/>
      <c r="I5" s="627"/>
    </row>
    <row r="6" spans="1:9" ht="18">
      <c r="D6" s="153" t="s">
        <v>56</v>
      </c>
      <c r="E6" s="153" t="s">
        <v>255</v>
      </c>
      <c r="F6" s="153" t="s">
        <v>256</v>
      </c>
      <c r="G6" s="153"/>
      <c r="H6" s="153" t="s">
        <v>67</v>
      </c>
      <c r="I6" s="628"/>
    </row>
    <row r="7" spans="1:9" ht="18">
      <c r="D7" s="153" t="s">
        <v>257</v>
      </c>
      <c r="E7" s="153" t="s">
        <v>257</v>
      </c>
      <c r="F7" s="153" t="s">
        <v>257</v>
      </c>
      <c r="G7" s="153"/>
      <c r="H7" s="153" t="s">
        <v>258</v>
      </c>
      <c r="I7" s="628"/>
    </row>
    <row r="8" spans="1:9" s="343" customFormat="1" ht="25.5">
      <c r="B8" s="346"/>
    </row>
    <row r="9" spans="1:9" ht="15.75">
      <c r="A9" s="59">
        <v>1</v>
      </c>
      <c r="C9" s="58" t="s">
        <v>259</v>
      </c>
      <c r="D9" s="156">
        <f>+E45</f>
        <v>0</v>
      </c>
      <c r="E9" s="156">
        <f>+F45</f>
        <v>0</v>
      </c>
      <c r="F9" s="156">
        <f>+G45</f>
        <v>1944004</v>
      </c>
      <c r="G9" s="156"/>
      <c r="H9" s="156"/>
      <c r="I9" s="91" t="str">
        <f>"(Line "&amp;A45&amp;")"</f>
        <v>(Line 26)</v>
      </c>
    </row>
    <row r="10" spans="1:9" ht="15.75">
      <c r="A10" s="59">
        <f>+A9+1</f>
        <v>2</v>
      </c>
      <c r="C10" s="58" t="s">
        <v>260</v>
      </c>
      <c r="D10" s="156">
        <f>+E64</f>
        <v>-8220708</v>
      </c>
      <c r="E10" s="156">
        <f t="shared" ref="E10:F10" si="0">+F64</f>
        <v>0</v>
      </c>
      <c r="F10" s="156">
        <f t="shared" si="0"/>
        <v>-4392792</v>
      </c>
      <c r="G10" s="156"/>
      <c r="H10" s="156"/>
      <c r="I10" s="91" t="str">
        <f>"(Line "&amp;A64&amp;")"</f>
        <v>(Line 29)</v>
      </c>
    </row>
    <row r="11" spans="1:9" ht="15.75">
      <c r="A11" s="59">
        <f>+A10+1</f>
        <v>3</v>
      </c>
      <c r="C11" s="58" t="s">
        <v>261</v>
      </c>
      <c r="D11" s="452">
        <f>+E92</f>
        <v>0</v>
      </c>
      <c r="E11" s="452">
        <f t="shared" ref="E11:F11" si="1">+F92</f>
        <v>0</v>
      </c>
      <c r="F11" s="452">
        <f t="shared" si="1"/>
        <v>914031</v>
      </c>
      <c r="G11" s="452"/>
      <c r="H11" s="156"/>
      <c r="I11" s="91" t="str">
        <f>"(Line "&amp;A92&amp;")"</f>
        <v>(Line 38)</v>
      </c>
    </row>
    <row r="12" spans="1:9" ht="15.75">
      <c r="A12" s="59">
        <f t="shared" ref="A12:A17" si="2">+A11+1</f>
        <v>4</v>
      </c>
      <c r="C12" s="58" t="s">
        <v>90</v>
      </c>
      <c r="D12" s="156">
        <f>+SUM(D9:D11)</f>
        <v>-8220708</v>
      </c>
      <c r="E12" s="156">
        <f t="shared" ref="E12:F12" si="3">+SUM(E9:E11)</f>
        <v>0</v>
      </c>
      <c r="F12" s="156">
        <f t="shared" si="3"/>
        <v>-1534757</v>
      </c>
      <c r="G12" s="156"/>
      <c r="H12" s="156"/>
      <c r="I12" s="91" t="str">
        <f>"(Line "&amp;A9&amp;" + Line "&amp;A10&amp;" + Line "&amp;A11&amp;")"</f>
        <v>(Line 1 + Line 2 + Line 3)</v>
      </c>
    </row>
    <row r="13" spans="1:9" ht="15.75">
      <c r="A13" s="59">
        <f t="shared" si="2"/>
        <v>5</v>
      </c>
      <c r="C13" s="58" t="s">
        <v>12</v>
      </c>
      <c r="F13" s="461">
        <f>'Appendix A'!H16</f>
        <v>0.12508709030780155</v>
      </c>
      <c r="I13" s="19" t="str">
        <f>"(Appendix A, Line "&amp;'Appendix A'!A16&amp;")"</f>
        <v>(Appendix A, Line 5)</v>
      </c>
    </row>
    <row r="14" spans="1:9" ht="15.75">
      <c r="A14" s="59">
        <f t="shared" si="2"/>
        <v>6</v>
      </c>
      <c r="C14" s="58" t="s">
        <v>20</v>
      </c>
      <c r="E14" s="461">
        <f>'Appendix A'!H27</f>
        <v>0.26818076319772116</v>
      </c>
      <c r="I14" s="19" t="str">
        <f>"(Appendix A, Line "&amp;'Appendix A'!A27&amp;")"</f>
        <v>(Appendix A, Line 12)</v>
      </c>
    </row>
    <row r="15" spans="1:9" ht="15.75">
      <c r="A15" s="59">
        <f>+A14+1</f>
        <v>7</v>
      </c>
      <c r="C15" s="58" t="s">
        <v>262</v>
      </c>
      <c r="D15" s="156">
        <f>+D12</f>
        <v>-8220708</v>
      </c>
      <c r="E15" s="156">
        <f>+E14*E12</f>
        <v>0</v>
      </c>
      <c r="F15" s="156">
        <f>+F13*F12</f>
        <v>-191978.28745953058</v>
      </c>
      <c r="G15" s="156"/>
      <c r="H15" s="157">
        <f>SUM(D15:F15)</f>
        <v>-8412686.2874595299</v>
      </c>
      <c r="I15" s="91" t="str">
        <f>"(Line "&amp;A12&amp;" * Line "&amp;A13&amp;" or Line "&amp;A14&amp;")"</f>
        <v>(Line 4 * Line 5 or Line 6)</v>
      </c>
    </row>
    <row r="16" spans="1:9" ht="15.75">
      <c r="A16" s="59">
        <f t="shared" si="2"/>
        <v>8</v>
      </c>
      <c r="C16" s="58" t="s">
        <v>263</v>
      </c>
      <c r="D16" s="156">
        <f>+'1C - ADIT Prior Year'!D15</f>
        <v>-3795911</v>
      </c>
      <c r="E16" s="156">
        <f>+'1C - ADIT Prior Year'!E15</f>
        <v>115852.48061683636</v>
      </c>
      <c r="F16" s="156">
        <f>+'1C - ADIT Prior Year'!F15</f>
        <v>-770319.7003685541</v>
      </c>
      <c r="G16" s="156"/>
      <c r="H16" s="157">
        <f t="shared" ref="H16" si="4">SUM(D16:F16)</f>
        <v>-4450378.2197517175</v>
      </c>
      <c r="I16" s="91" t="str">
        <f>"(Attachment 1C - ADIT Prior Year, Line "&amp;A15&amp;")"</f>
        <v>(Attachment 1C - ADIT Prior Year, Line 7)</v>
      </c>
    </row>
    <row r="17" spans="1:21" ht="15.75">
      <c r="A17" s="59">
        <f t="shared" si="2"/>
        <v>9</v>
      </c>
      <c r="C17" s="58" t="s">
        <v>264</v>
      </c>
      <c r="D17" s="156">
        <f>(D15+D16)/2</f>
        <v>-6008309.5</v>
      </c>
      <c r="E17" s="156">
        <f>(E15+E16)/2</f>
        <v>57926.240308418179</v>
      </c>
      <c r="F17" s="156">
        <f>(F15+F16)/2</f>
        <v>-481148.99391404237</v>
      </c>
      <c r="G17" s="156"/>
      <c r="H17" s="157">
        <f>SUM(D17:F17)</f>
        <v>-6431532.2536056247</v>
      </c>
      <c r="I17" s="91" t="str">
        <f>"(Average of Line "&amp;A15&amp;" + Line "&amp;A16&amp;")"</f>
        <v>(Average of Line 7 + Line 8)</v>
      </c>
      <c r="J17" s="342"/>
    </row>
    <row r="18" spans="1:21" ht="15.75">
      <c r="A18" s="59">
        <f>+A17+1</f>
        <v>10</v>
      </c>
      <c r="C18" s="58" t="s">
        <v>265</v>
      </c>
      <c r="D18" s="452">
        <f>+'1B - ADIT Proration'!J24</f>
        <v>-37864088.293150686</v>
      </c>
      <c r="E18" s="452">
        <f>+'1B - ADIT Proration'!N24</f>
        <v>0</v>
      </c>
      <c r="F18" s="452">
        <f>+'1B - ADIT Proration'!R24</f>
        <v>-1258967.5070171361</v>
      </c>
      <c r="G18" s="156"/>
      <c r="H18" s="863">
        <f>+'1B - ADIT Proration'!S24</f>
        <v>-39123055.800167821</v>
      </c>
      <c r="I18" s="91" t="str">
        <f>"(Attachment 1B, Line "&amp;'1B - ADIT Proration'!A24&amp;")"</f>
        <v>(Attachment 1B, Line 14)</v>
      </c>
    </row>
    <row r="19" spans="1:21" ht="15.75">
      <c r="A19" s="59">
        <f>+A18+1</f>
        <v>11</v>
      </c>
      <c r="C19" s="155" t="s">
        <v>266</v>
      </c>
      <c r="D19" s="156">
        <f>+D17+D18</f>
        <v>-43872397.793150686</v>
      </c>
      <c r="E19" s="156">
        <f>+E17+E18</f>
        <v>57926.240308418179</v>
      </c>
      <c r="F19" s="156">
        <f>+F17+F18</f>
        <v>-1740116.5009311785</v>
      </c>
      <c r="G19" s="157"/>
      <c r="H19" s="157">
        <f>+H17+H18</f>
        <v>-45554588.053773448</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267</v>
      </c>
      <c r="D23" s="156"/>
    </row>
    <row r="24" spans="1:21">
      <c r="B24" s="45"/>
    </row>
    <row r="25" spans="1:21">
      <c r="B25" s="154" t="s">
        <v>268</v>
      </c>
    </row>
    <row r="26" spans="1:21">
      <c r="B26" s="154" t="s">
        <v>269</v>
      </c>
    </row>
    <row r="27" spans="1:21">
      <c r="G27" s="155"/>
      <c r="H27" s="155"/>
    </row>
    <row r="28" spans="1:21" ht="15.75">
      <c r="B28" s="159" t="s">
        <v>207</v>
      </c>
      <c r="C28" s="159" t="s">
        <v>209</v>
      </c>
      <c r="D28" s="159" t="s">
        <v>211</v>
      </c>
      <c r="E28" s="159" t="s">
        <v>213</v>
      </c>
      <c r="F28" s="159" t="s">
        <v>215</v>
      </c>
      <c r="G28" s="159" t="s">
        <v>217</v>
      </c>
      <c r="H28" s="159"/>
      <c r="I28" s="159" t="s">
        <v>219</v>
      </c>
    </row>
    <row r="29" spans="1:21">
      <c r="B29" s="160" t="s">
        <v>270</v>
      </c>
      <c r="C29" s="153"/>
      <c r="D29" s="153"/>
      <c r="E29" s="153" t="s">
        <v>56</v>
      </c>
      <c r="F29" s="153" t="s">
        <v>255</v>
      </c>
      <c r="G29" s="153" t="s">
        <v>256</v>
      </c>
      <c r="H29" s="153"/>
    </row>
    <row r="30" spans="1:21" ht="14.45" customHeight="1" thickBot="1">
      <c r="C30" s="153" t="s">
        <v>67</v>
      </c>
      <c r="D30" s="153" t="s">
        <v>271</v>
      </c>
      <c r="E30" s="153" t="s">
        <v>257</v>
      </c>
      <c r="F30" s="153" t="s">
        <v>257</v>
      </c>
      <c r="G30" s="153" t="s">
        <v>257</v>
      </c>
      <c r="H30" s="446"/>
      <c r="I30" s="153" t="s">
        <v>272</v>
      </c>
    </row>
    <row r="31" spans="1:21" ht="28.5" customHeight="1" thickBot="1">
      <c r="A31" s="59">
        <f>+A19+1</f>
        <v>12</v>
      </c>
      <c r="B31" s="332" t="s">
        <v>273</v>
      </c>
      <c r="C31" s="822">
        <f>+SUM(D31:G31)</f>
        <v>570019</v>
      </c>
      <c r="D31" s="777">
        <v>0</v>
      </c>
      <c r="E31" s="777">
        <v>0</v>
      </c>
      <c r="F31" s="777">
        <v>0</v>
      </c>
      <c r="G31" s="777">
        <v>570019</v>
      </c>
      <c r="H31" s="686"/>
      <c r="I31" s="407" t="s">
        <v>274</v>
      </c>
      <c r="Q31" s="345"/>
      <c r="R31" s="345"/>
      <c r="S31" s="345"/>
      <c r="T31" s="345"/>
      <c r="U31" s="345"/>
    </row>
    <row r="32" spans="1:21" ht="28.5" customHeight="1" thickBot="1">
      <c r="A32" s="59">
        <f>+A31+1</f>
        <v>13</v>
      </c>
      <c r="B32" s="333" t="s">
        <v>275</v>
      </c>
      <c r="C32" s="823">
        <f>+SUM(D32:G32)</f>
        <v>0</v>
      </c>
      <c r="D32" s="778">
        <v>0</v>
      </c>
      <c r="E32" s="778">
        <v>0</v>
      </c>
      <c r="F32" s="778">
        <v>0</v>
      </c>
      <c r="G32" s="777">
        <v>0</v>
      </c>
      <c r="H32" s="687"/>
      <c r="I32" s="407" t="s">
        <v>276</v>
      </c>
      <c r="Q32" s="345"/>
      <c r="R32" s="345"/>
      <c r="S32" s="345"/>
      <c r="T32" s="345"/>
      <c r="U32" s="345"/>
    </row>
    <row r="33" spans="1:21" ht="39.75" customHeight="1">
      <c r="A33" s="59">
        <f t="shared" ref="A33:A44" si="5">+A32+1</f>
        <v>14</v>
      </c>
      <c r="B33" s="333" t="s">
        <v>277</v>
      </c>
      <c r="C33" s="823">
        <f>+SUM(D33:G33)</f>
        <v>653198</v>
      </c>
      <c r="D33" s="778">
        <v>0</v>
      </c>
      <c r="E33" s="778">
        <v>0</v>
      </c>
      <c r="F33" s="778">
        <v>0</v>
      </c>
      <c r="G33" s="777">
        <v>653198</v>
      </c>
      <c r="H33" s="687"/>
      <c r="I33" s="407" t="s">
        <v>274</v>
      </c>
      <c r="Q33" s="345"/>
      <c r="R33" s="345"/>
      <c r="S33" s="345"/>
      <c r="T33" s="345"/>
      <c r="U33" s="345"/>
    </row>
    <row r="34" spans="1:21" ht="39.75" customHeight="1">
      <c r="A34" s="59">
        <f t="shared" si="5"/>
        <v>15</v>
      </c>
      <c r="B34" s="503" t="s">
        <v>278</v>
      </c>
      <c r="C34" s="823">
        <f t="shared" ref="C34:C41" si="6">+SUM(D34:G34)</f>
        <v>11612</v>
      </c>
      <c r="D34" s="778">
        <v>11612</v>
      </c>
      <c r="E34" s="778">
        <v>0</v>
      </c>
      <c r="F34" s="778">
        <v>0</v>
      </c>
      <c r="G34" s="778">
        <v>0</v>
      </c>
      <c r="H34" s="687"/>
      <c r="I34" s="405" t="s">
        <v>279</v>
      </c>
      <c r="Q34" s="345"/>
      <c r="R34" s="345"/>
      <c r="S34" s="345"/>
      <c r="T34" s="345"/>
      <c r="U34" s="345"/>
    </row>
    <row r="35" spans="1:21" ht="39.75" customHeight="1">
      <c r="A35" s="59">
        <f t="shared" si="5"/>
        <v>16</v>
      </c>
      <c r="B35" s="333" t="s">
        <v>280</v>
      </c>
      <c r="C35" s="823">
        <f t="shared" si="6"/>
        <v>636527</v>
      </c>
      <c r="D35" s="778">
        <v>0</v>
      </c>
      <c r="E35" s="778">
        <v>0</v>
      </c>
      <c r="F35" s="778">
        <v>0</v>
      </c>
      <c r="G35" s="778">
        <v>636527</v>
      </c>
      <c r="H35" s="687"/>
      <c r="I35" s="407" t="s">
        <v>281</v>
      </c>
      <c r="Q35" s="345"/>
      <c r="R35" s="345"/>
      <c r="S35" s="345"/>
      <c r="T35" s="345"/>
      <c r="U35" s="345"/>
    </row>
    <row r="36" spans="1:21" ht="39.75" customHeight="1">
      <c r="A36" s="59">
        <f t="shared" si="5"/>
        <v>17</v>
      </c>
      <c r="B36" s="333" t="s">
        <v>282</v>
      </c>
      <c r="C36" s="823">
        <f t="shared" si="6"/>
        <v>0</v>
      </c>
      <c r="D36" s="778">
        <v>0</v>
      </c>
      <c r="E36" s="778">
        <v>0</v>
      </c>
      <c r="F36" s="778">
        <v>0</v>
      </c>
      <c r="G36" s="778">
        <v>0</v>
      </c>
      <c r="H36" s="687"/>
      <c r="I36" s="407" t="s">
        <v>283</v>
      </c>
      <c r="Q36" s="345"/>
      <c r="R36" s="345"/>
      <c r="S36" s="345"/>
      <c r="T36" s="345"/>
      <c r="U36" s="345"/>
    </row>
    <row r="37" spans="1:21" ht="39.75" customHeight="1">
      <c r="A37" s="59">
        <f t="shared" si="5"/>
        <v>18</v>
      </c>
      <c r="B37" s="333" t="s">
        <v>284</v>
      </c>
      <c r="C37" s="823">
        <f t="shared" si="6"/>
        <v>84260</v>
      </c>
      <c r="D37" s="778">
        <v>0</v>
      </c>
      <c r="E37" s="778">
        <v>0</v>
      </c>
      <c r="F37" s="778">
        <v>0</v>
      </c>
      <c r="G37" s="778">
        <v>84260</v>
      </c>
      <c r="H37" s="687"/>
      <c r="I37" s="407" t="s">
        <v>285</v>
      </c>
      <c r="Q37" s="345"/>
      <c r="R37" s="345"/>
      <c r="S37" s="345"/>
      <c r="T37" s="345"/>
      <c r="U37" s="345"/>
    </row>
    <row r="38" spans="1:21" ht="39.75" customHeight="1">
      <c r="A38" s="59">
        <f t="shared" si="5"/>
        <v>19</v>
      </c>
      <c r="B38" s="333" t="s">
        <v>286</v>
      </c>
      <c r="C38" s="823">
        <f t="shared" si="6"/>
        <v>687952</v>
      </c>
      <c r="D38" s="778">
        <v>687952</v>
      </c>
      <c r="E38" s="778">
        <v>0</v>
      </c>
      <c r="F38" s="778">
        <v>0</v>
      </c>
      <c r="G38" s="778">
        <v>0</v>
      </c>
      <c r="H38" s="687"/>
      <c r="I38" s="407" t="s">
        <v>287</v>
      </c>
      <c r="Q38" s="345"/>
      <c r="R38" s="345"/>
      <c r="S38" s="345"/>
      <c r="T38" s="345"/>
      <c r="U38" s="345"/>
    </row>
    <row r="39" spans="1:21" ht="39.75" customHeight="1">
      <c r="A39" s="59">
        <f t="shared" si="5"/>
        <v>20</v>
      </c>
      <c r="B39" s="333" t="s">
        <v>288</v>
      </c>
      <c r="C39" s="823">
        <f t="shared" si="6"/>
        <v>0</v>
      </c>
      <c r="D39" s="778">
        <v>0</v>
      </c>
      <c r="E39" s="778">
        <v>0</v>
      </c>
      <c r="F39" s="778">
        <v>0</v>
      </c>
      <c r="G39" s="778">
        <v>0</v>
      </c>
      <c r="H39" s="687"/>
      <c r="I39" s="407" t="s">
        <v>289</v>
      </c>
      <c r="Q39" s="345"/>
      <c r="R39" s="345"/>
      <c r="S39" s="345"/>
      <c r="T39" s="345"/>
      <c r="U39" s="345"/>
    </row>
    <row r="40" spans="1:21" ht="39.75" customHeight="1">
      <c r="A40" s="59">
        <f t="shared" si="5"/>
        <v>21</v>
      </c>
      <c r="B40" s="333" t="s">
        <v>290</v>
      </c>
      <c r="C40" s="823">
        <f t="shared" si="6"/>
        <v>0</v>
      </c>
      <c r="D40" s="778">
        <v>0</v>
      </c>
      <c r="E40" s="778">
        <v>0</v>
      </c>
      <c r="F40" s="778">
        <v>0</v>
      </c>
      <c r="G40" s="778">
        <v>0</v>
      </c>
      <c r="H40" s="687"/>
      <c r="I40" s="407" t="s">
        <v>291</v>
      </c>
      <c r="Q40" s="345"/>
      <c r="R40" s="345"/>
      <c r="S40" s="345"/>
      <c r="T40" s="345"/>
      <c r="U40" s="345"/>
    </row>
    <row r="41" spans="1:21" ht="39.75" customHeight="1">
      <c r="A41" s="59">
        <f t="shared" si="5"/>
        <v>22</v>
      </c>
      <c r="B41" s="333" t="s">
        <v>292</v>
      </c>
      <c r="C41" s="823">
        <f t="shared" si="6"/>
        <v>-205831</v>
      </c>
      <c r="D41" s="778">
        <v>-205831</v>
      </c>
      <c r="E41" s="778">
        <v>0</v>
      </c>
      <c r="F41" s="778">
        <v>0</v>
      </c>
      <c r="G41" s="778">
        <v>0</v>
      </c>
      <c r="H41" s="687"/>
      <c r="I41" s="407" t="s">
        <v>293</v>
      </c>
      <c r="Q41" s="345"/>
      <c r="R41" s="345"/>
      <c r="S41" s="345"/>
      <c r="T41" s="345"/>
      <c r="U41" s="345"/>
    </row>
    <row r="42" spans="1:21" ht="39.75" customHeight="1">
      <c r="A42" s="59">
        <f>+A41+1</f>
        <v>23</v>
      </c>
      <c r="B42" s="333" t="s">
        <v>294</v>
      </c>
      <c r="C42" s="823">
        <f>+C43-SUM(C31:C41)</f>
        <v>2575201</v>
      </c>
      <c r="D42" s="778">
        <f>+C42</f>
        <v>2575201</v>
      </c>
      <c r="E42" s="778">
        <v>0</v>
      </c>
      <c r="F42" s="778">
        <v>0</v>
      </c>
      <c r="G42" s="778">
        <v>0</v>
      </c>
      <c r="H42" s="687"/>
      <c r="I42" s="335" t="s">
        <v>295</v>
      </c>
      <c r="Q42" s="345"/>
      <c r="R42" s="345"/>
      <c r="S42" s="345"/>
      <c r="T42" s="345"/>
      <c r="U42" s="345"/>
    </row>
    <row r="43" spans="1:21" ht="25.15" customHeight="1">
      <c r="A43" s="59">
        <f t="shared" si="5"/>
        <v>24</v>
      </c>
      <c r="B43" s="334" t="s">
        <v>296</v>
      </c>
      <c r="C43" s="553">
        <v>5012938</v>
      </c>
      <c r="D43" s="553">
        <f t="shared" ref="D43:G43" si="7">SUM(D31:D42)</f>
        <v>3068934</v>
      </c>
      <c r="E43" s="553">
        <f t="shared" si="7"/>
        <v>0</v>
      </c>
      <c r="F43" s="553">
        <f t="shared" si="7"/>
        <v>0</v>
      </c>
      <c r="G43" s="553">
        <f t="shared" si="7"/>
        <v>1944004</v>
      </c>
      <c r="H43" s="553"/>
      <c r="I43" s="161"/>
      <c r="Q43" s="345"/>
      <c r="R43" s="345"/>
      <c r="S43" s="345"/>
      <c r="T43" s="345"/>
      <c r="U43" s="345"/>
    </row>
    <row r="44" spans="1:21" ht="25.15" customHeight="1">
      <c r="A44" s="59">
        <f t="shared" si="5"/>
        <v>25</v>
      </c>
      <c r="B44" s="331" t="s">
        <v>297</v>
      </c>
      <c r="C44" s="554">
        <f>SUM(D44:G44)</f>
        <v>11612</v>
      </c>
      <c r="D44" s="554">
        <f>D34</f>
        <v>11612</v>
      </c>
      <c r="E44" s="555">
        <f>E34</f>
        <v>0</v>
      </c>
      <c r="F44" s="556">
        <f>F34</f>
        <v>0</v>
      </c>
      <c r="G44" s="556">
        <f>G34</f>
        <v>0</v>
      </c>
      <c r="H44" s="556"/>
      <c r="I44" s="167" t="s">
        <v>298</v>
      </c>
      <c r="Q44" s="345"/>
      <c r="R44" s="345"/>
      <c r="S44" s="345"/>
      <c r="T44" s="345"/>
      <c r="U44" s="345"/>
    </row>
    <row r="45" spans="1:21" ht="35.1" customHeight="1" thickBot="1">
      <c r="A45" s="59">
        <f>+A44+1</f>
        <v>26</v>
      </c>
      <c r="B45" s="330" t="s">
        <v>67</v>
      </c>
      <c r="C45" s="557">
        <f>+C43-C44</f>
        <v>5001326</v>
      </c>
      <c r="D45" s="557">
        <f t="shared" ref="D45:G45" si="8">+D43-D44</f>
        <v>3057322</v>
      </c>
      <c r="E45" s="557">
        <f t="shared" si="8"/>
        <v>0</v>
      </c>
      <c r="F45" s="557">
        <f t="shared" si="8"/>
        <v>0</v>
      </c>
      <c r="G45" s="557">
        <f t="shared" si="8"/>
        <v>1944004</v>
      </c>
      <c r="H45" s="557"/>
      <c r="I45" s="329"/>
      <c r="Q45" s="345"/>
      <c r="R45" s="345"/>
      <c r="S45" s="345"/>
      <c r="T45" s="345"/>
      <c r="U45" s="345"/>
    </row>
    <row r="46" spans="1:21" ht="35.1" customHeight="1">
      <c r="B46" s="45" t="s">
        <v>299</v>
      </c>
      <c r="D46" s="156"/>
      <c r="E46" s="467"/>
      <c r="F46" s="59"/>
      <c r="I46" s="468"/>
    </row>
    <row r="47" spans="1:21" ht="19.149999999999999" customHeight="1">
      <c r="B47" s="890" t="s">
        <v>300</v>
      </c>
      <c r="C47" s="890"/>
      <c r="D47" s="890"/>
      <c r="E47" s="890"/>
      <c r="F47" s="890"/>
      <c r="G47" s="890"/>
      <c r="H47" s="890"/>
      <c r="I47" s="890"/>
    </row>
    <row r="48" spans="1:21" ht="18.600000000000001" customHeight="1">
      <c r="B48" s="154" t="s">
        <v>301</v>
      </c>
      <c r="G48" s="59"/>
      <c r="H48" s="59"/>
      <c r="I48" s="59"/>
    </row>
    <row r="49" spans="1:21" ht="19.149999999999999" customHeight="1">
      <c r="B49" s="154" t="s">
        <v>302</v>
      </c>
      <c r="G49" s="59"/>
      <c r="H49" s="59"/>
      <c r="I49" s="59"/>
    </row>
    <row r="50" spans="1:21" ht="16.899999999999999" customHeight="1">
      <c r="B50" s="154" t="s">
        <v>303</v>
      </c>
      <c r="G50" s="59"/>
      <c r="H50" s="59"/>
      <c r="I50" s="59"/>
    </row>
    <row r="51" spans="1:21" ht="15" customHeight="1">
      <c r="B51" s="890" t="s">
        <v>304</v>
      </c>
      <c r="C51" s="890"/>
      <c r="D51" s="890"/>
      <c r="E51" s="890"/>
      <c r="F51" s="890"/>
      <c r="G51" s="890"/>
      <c r="H51" s="890"/>
      <c r="I51" s="890"/>
    </row>
    <row r="52" spans="1:21">
      <c r="B52" s="154" t="s">
        <v>305</v>
      </c>
      <c r="C52" s="59"/>
      <c r="D52" s="469"/>
      <c r="E52" s="59"/>
      <c r="F52" s="59"/>
      <c r="G52" s="59"/>
      <c r="H52" s="59"/>
      <c r="I52" s="445"/>
    </row>
    <row r="53" spans="1:21" ht="15.75">
      <c r="C53" s="159"/>
      <c r="D53" s="159"/>
      <c r="E53" s="159"/>
      <c r="F53" s="159"/>
      <c r="G53" s="159"/>
      <c r="H53" s="159"/>
      <c r="I53" s="445"/>
    </row>
    <row r="54" spans="1:21" s="151" customFormat="1" ht="18">
      <c r="B54" s="891" t="str">
        <f>+B1</f>
        <v>Dayton Power and Light</v>
      </c>
      <c r="C54" s="892"/>
      <c r="D54" s="892"/>
      <c r="E54" s="892"/>
      <c r="F54" s="892"/>
      <c r="G54" s="892"/>
      <c r="H54" s="892"/>
      <c r="I54" s="892"/>
    </row>
    <row r="55" spans="1:21" s="151" customFormat="1" ht="18">
      <c r="B55" s="891" t="str">
        <f>+B2</f>
        <v xml:space="preserve">ATTACHMENT H-15A </v>
      </c>
      <c r="C55" s="891"/>
      <c r="D55" s="891"/>
      <c r="E55" s="891"/>
      <c r="F55" s="891"/>
      <c r="G55" s="891"/>
      <c r="H55" s="891"/>
      <c r="I55" s="891"/>
    </row>
    <row r="56" spans="1:21" s="151" customFormat="1" ht="18">
      <c r="B56" s="891" t="str">
        <f>+B3</f>
        <v>Attachment 1A - Accumulated Deferred Income Taxes (ADIT) Worksheet - Projected December 31, 2024</v>
      </c>
      <c r="C56" s="891"/>
      <c r="D56" s="891"/>
      <c r="E56" s="891"/>
      <c r="F56" s="891"/>
      <c r="G56" s="891"/>
      <c r="H56" s="891"/>
      <c r="I56" s="891"/>
    </row>
    <row r="57" spans="1:21" ht="18">
      <c r="B57" s="153"/>
      <c r="I57" s="627"/>
    </row>
    <row r="58" spans="1:21" ht="18">
      <c r="B58" s="159" t="s">
        <v>207</v>
      </c>
      <c r="C58" s="159" t="s">
        <v>209</v>
      </c>
      <c r="D58" s="159" t="s">
        <v>211</v>
      </c>
      <c r="E58" s="159" t="s">
        <v>213</v>
      </c>
      <c r="F58" s="159" t="s">
        <v>215</v>
      </c>
      <c r="G58" s="159" t="s">
        <v>217</v>
      </c>
      <c r="H58" s="159"/>
      <c r="I58" s="628"/>
    </row>
    <row r="59" spans="1:21" ht="18">
      <c r="B59" s="45"/>
      <c r="C59" s="153" t="s">
        <v>306</v>
      </c>
      <c r="D59" s="153"/>
      <c r="E59" s="153"/>
      <c r="F59" s="153"/>
      <c r="G59" s="153"/>
      <c r="H59" s="153"/>
      <c r="I59" s="628"/>
    </row>
    <row r="60" spans="1:21" ht="15.75">
      <c r="B60" s="155" t="s">
        <v>307</v>
      </c>
      <c r="C60" s="153"/>
      <c r="D60" s="153"/>
      <c r="E60" s="153" t="s">
        <v>56</v>
      </c>
      <c r="F60" s="153" t="s">
        <v>255</v>
      </c>
      <c r="G60" s="153" t="s">
        <v>256</v>
      </c>
      <c r="H60" s="153"/>
      <c r="I60" s="159" t="s">
        <v>219</v>
      </c>
    </row>
    <row r="61" spans="1:21" ht="15.75" thickBot="1">
      <c r="C61" s="153"/>
      <c r="D61" s="153" t="str">
        <f>+D30</f>
        <v>Excluded</v>
      </c>
      <c r="E61" s="153" t="s">
        <v>257</v>
      </c>
      <c r="F61" s="153" t="s">
        <v>257</v>
      </c>
      <c r="G61" s="153" t="s">
        <v>257</v>
      </c>
      <c r="H61" s="446"/>
      <c r="I61" s="153" t="s">
        <v>272</v>
      </c>
    </row>
    <row r="62" spans="1:21" ht="47.25" customHeight="1">
      <c r="A62" s="45">
        <f>+A45+1</f>
        <v>27</v>
      </c>
      <c r="B62" s="504" t="s">
        <v>308</v>
      </c>
      <c r="C62" s="779">
        <f>+SUM(D62:G62)</f>
        <v>0</v>
      </c>
      <c r="D62" s="779">
        <v>0</v>
      </c>
      <c r="E62" s="777"/>
      <c r="F62" s="777">
        <v>0</v>
      </c>
      <c r="G62" s="777">
        <v>0</v>
      </c>
      <c r="H62" s="688"/>
      <c r="I62" s="505" t="str">
        <f>+'1D - ADIT True-up'!I65</f>
        <v>Tax and book differences resulting from accelerated tax depreciation .  Included in prorated amount</v>
      </c>
      <c r="Q62" s="344"/>
      <c r="R62" s="344"/>
      <c r="S62" s="344"/>
      <c r="T62" s="344"/>
      <c r="U62" s="344"/>
    </row>
    <row r="63" spans="1:21" ht="46.5" customHeight="1">
      <c r="A63" s="45">
        <f>+A62+1</f>
        <v>28</v>
      </c>
      <c r="B63" s="333" t="s">
        <v>309</v>
      </c>
      <c r="C63" s="778">
        <f>+SUM(D63:G63)</f>
        <v>-10585316</v>
      </c>
      <c r="D63" s="778">
        <v>2028184</v>
      </c>
      <c r="E63" s="778">
        <v>-8220708</v>
      </c>
      <c r="F63" s="778">
        <v>0</v>
      </c>
      <c r="G63" s="778">
        <v>-4392792</v>
      </c>
      <c r="H63" s="687"/>
      <c r="I63" s="652" t="s">
        <v>310</v>
      </c>
      <c r="Q63" s="344"/>
      <c r="R63" s="344"/>
      <c r="S63" s="344"/>
      <c r="T63" s="344"/>
      <c r="U63" s="344"/>
    </row>
    <row r="64" spans="1:21" ht="35.1" customHeight="1" thickBot="1">
      <c r="A64" s="45">
        <f>+A63+1</f>
        <v>29</v>
      </c>
      <c r="B64" s="330" t="s">
        <v>67</v>
      </c>
      <c r="C64" s="557">
        <f>+SUM(C62:C63)</f>
        <v>-10585316</v>
      </c>
      <c r="D64" s="557">
        <f t="shared" ref="D64:G64" si="9">+SUM(D62:D63)</f>
        <v>2028184</v>
      </c>
      <c r="E64" s="557">
        <f t="shared" si="9"/>
        <v>-8220708</v>
      </c>
      <c r="F64" s="557">
        <f t="shared" si="9"/>
        <v>0</v>
      </c>
      <c r="G64" s="557">
        <f t="shared" si="9"/>
        <v>-4392792</v>
      </c>
      <c r="H64" s="557"/>
      <c r="I64" s="329"/>
      <c r="Q64" s="344"/>
      <c r="R64" s="344"/>
      <c r="S64" s="344"/>
      <c r="T64" s="344"/>
      <c r="U64" s="344"/>
    </row>
    <row r="65" spans="2:9" ht="25.15" customHeight="1">
      <c r="B65" s="45" t="s">
        <v>311</v>
      </c>
      <c r="E65" s="59"/>
      <c r="F65" s="467"/>
      <c r="I65" s="445"/>
    </row>
    <row r="66" spans="2:9" ht="21" customHeight="1">
      <c r="B66" s="154" t="s">
        <v>312</v>
      </c>
      <c r="G66" s="59"/>
      <c r="H66" s="59"/>
      <c r="I66" s="59"/>
    </row>
    <row r="67" spans="2:9" ht="15" customHeight="1">
      <c r="B67" s="154" t="s">
        <v>301</v>
      </c>
      <c r="G67" s="59"/>
      <c r="H67" s="59"/>
      <c r="I67" s="59"/>
    </row>
    <row r="68" spans="2:9" ht="19.149999999999999" customHeight="1">
      <c r="B68" s="154" t="s">
        <v>313</v>
      </c>
      <c r="G68" s="59"/>
      <c r="H68" s="59"/>
      <c r="I68" s="59"/>
    </row>
    <row r="69" spans="2:9" ht="18.600000000000001" customHeight="1">
      <c r="B69" s="154" t="s">
        <v>314</v>
      </c>
      <c r="G69" s="59"/>
      <c r="H69" s="59"/>
      <c r="I69" s="59"/>
    </row>
    <row r="70" spans="2:9" ht="18.600000000000001" customHeight="1">
      <c r="B70" s="890" t="s">
        <v>304</v>
      </c>
      <c r="C70" s="890"/>
      <c r="D70" s="890"/>
      <c r="E70" s="890"/>
      <c r="F70" s="890"/>
      <c r="G70" s="890"/>
      <c r="H70" s="890"/>
      <c r="I70" s="890"/>
    </row>
    <row r="71" spans="2:9">
      <c r="B71" s="154" t="s">
        <v>305</v>
      </c>
      <c r="C71" s="59"/>
      <c r="D71" s="469"/>
      <c r="E71" s="59"/>
      <c r="F71" s="59"/>
      <c r="G71" s="59"/>
      <c r="H71" s="59"/>
      <c r="I71" s="445"/>
    </row>
    <row r="72" spans="2:9">
      <c r="F72" s="59"/>
      <c r="G72" s="59"/>
      <c r="H72" s="59"/>
      <c r="I72" s="445"/>
    </row>
    <row r="73" spans="2:9">
      <c r="F73" s="59"/>
      <c r="G73" s="59"/>
      <c r="H73" s="59"/>
      <c r="I73" s="445"/>
    </row>
    <row r="74" spans="2:9" ht="15.75">
      <c r="B74" s="159"/>
    </row>
    <row r="75" spans="2:9" s="151" customFormat="1" ht="18">
      <c r="B75" s="172" t="str">
        <f>B1</f>
        <v>Dayton Power and Light</v>
      </c>
      <c r="C75" s="173"/>
      <c r="D75" s="173"/>
      <c r="E75" s="173"/>
      <c r="F75" s="173"/>
      <c r="G75" s="173"/>
      <c r="H75" s="173"/>
      <c r="I75" s="173"/>
    </row>
    <row r="76" spans="2:9" s="151" customFormat="1" ht="18">
      <c r="B76" s="891" t="str">
        <f>+B55</f>
        <v xml:space="preserve">ATTACHMENT H-15A </v>
      </c>
      <c r="C76" s="891"/>
      <c r="D76" s="891"/>
      <c r="E76" s="891"/>
      <c r="F76" s="891"/>
      <c r="G76" s="891"/>
      <c r="H76" s="891"/>
      <c r="I76" s="891"/>
    </row>
    <row r="77" spans="2:9" s="151" customFormat="1" ht="18">
      <c r="B77" s="891" t="str">
        <f>+B3</f>
        <v>Attachment 1A - Accumulated Deferred Income Taxes (ADIT) Worksheet - Projected December 31, 2024</v>
      </c>
      <c r="C77" s="891"/>
      <c r="D77" s="891"/>
      <c r="E77" s="891"/>
      <c r="F77" s="891"/>
      <c r="G77" s="891"/>
      <c r="H77" s="891"/>
      <c r="I77" s="891"/>
    </row>
    <row r="78" spans="2:9" s="151" customFormat="1" ht="18.75">
      <c r="B78" s="163"/>
      <c r="G78" s="149"/>
      <c r="H78" s="149"/>
      <c r="I78" s="164"/>
    </row>
    <row r="79" spans="2:9" ht="15.75">
      <c r="B79" s="159" t="s">
        <v>207</v>
      </c>
      <c r="C79" s="159" t="s">
        <v>209</v>
      </c>
      <c r="D79" s="159" t="s">
        <v>211</v>
      </c>
      <c r="E79" s="159" t="s">
        <v>213</v>
      </c>
      <c r="F79" s="159" t="s">
        <v>215</v>
      </c>
      <c r="G79" s="159" t="s">
        <v>217</v>
      </c>
      <c r="H79" s="159"/>
      <c r="I79" s="159" t="s">
        <v>219</v>
      </c>
    </row>
    <row r="80" spans="2:9" ht="15.75">
      <c r="B80" s="155" t="s">
        <v>315</v>
      </c>
      <c r="C80" s="159" t="s">
        <v>67</v>
      </c>
      <c r="D80" s="165"/>
      <c r="E80" s="159" t="s">
        <v>56</v>
      </c>
      <c r="F80" s="165" t="s">
        <v>255</v>
      </c>
      <c r="G80" s="165" t="s">
        <v>256</v>
      </c>
      <c r="H80" s="159"/>
    </row>
    <row r="81" spans="1:21" ht="16.149999999999999" customHeight="1" thickBot="1">
      <c r="C81" s="159"/>
      <c r="D81" s="159" t="str">
        <f>+D61</f>
        <v>Excluded</v>
      </c>
      <c r="E81" s="159" t="s">
        <v>257</v>
      </c>
      <c r="F81" s="159"/>
      <c r="G81" s="159"/>
      <c r="H81" s="451"/>
      <c r="I81" s="153" t="s">
        <v>272</v>
      </c>
    </row>
    <row r="82" spans="1:21" ht="25.15" customHeight="1">
      <c r="A82" s="59">
        <f>+A62+1</f>
        <v>28</v>
      </c>
      <c r="B82" s="332"/>
      <c r="C82" s="777"/>
      <c r="D82" s="777"/>
      <c r="E82" s="777"/>
      <c r="F82" s="777"/>
      <c r="G82" s="777"/>
      <c r="H82" s="689"/>
      <c r="I82" s="651" t="s">
        <v>317</v>
      </c>
      <c r="Q82" s="344"/>
      <c r="R82" s="344"/>
      <c r="S82" s="344"/>
      <c r="T82" s="344"/>
      <c r="U82" s="344"/>
    </row>
    <row r="83" spans="1:21" ht="33.6" customHeight="1">
      <c r="A83" s="59">
        <f>+A82+1</f>
        <v>29</v>
      </c>
      <c r="B83" s="333" t="s">
        <v>318</v>
      </c>
      <c r="C83" s="778">
        <f>+SUM(D83:G83)</f>
        <v>-385279</v>
      </c>
      <c r="D83" s="778">
        <v>-385279</v>
      </c>
      <c r="E83" s="778">
        <v>0</v>
      </c>
      <c r="F83" s="778">
        <v>0</v>
      </c>
      <c r="G83" s="778">
        <v>0</v>
      </c>
      <c r="H83" s="690"/>
      <c r="I83" s="408" t="s">
        <v>319</v>
      </c>
      <c r="Q83" s="344"/>
      <c r="R83" s="344"/>
      <c r="S83" s="344"/>
      <c r="T83" s="344"/>
      <c r="U83" s="344"/>
    </row>
    <row r="84" spans="1:21" ht="36.75" customHeight="1">
      <c r="A84" s="59">
        <f t="shared" ref="A84:A92" si="10">+A83+1</f>
        <v>30</v>
      </c>
      <c r="B84" s="333" t="s">
        <v>320</v>
      </c>
      <c r="C84" s="778">
        <f>+SUM(D84:G84)</f>
        <v>-16926760</v>
      </c>
      <c r="D84" s="778">
        <v>-16926760</v>
      </c>
      <c r="E84" s="778">
        <v>0</v>
      </c>
      <c r="F84" s="778">
        <v>0</v>
      </c>
      <c r="G84" s="778">
        <v>0</v>
      </c>
      <c r="H84" s="690"/>
      <c r="I84" s="408" t="s">
        <v>321</v>
      </c>
      <c r="Q84" s="344"/>
      <c r="R84" s="344"/>
      <c r="S84" s="344"/>
      <c r="T84" s="344"/>
      <c r="U84" s="344"/>
    </row>
    <row r="85" spans="1:21" ht="31.5" customHeight="1">
      <c r="A85" s="59">
        <f t="shared" si="10"/>
        <v>31</v>
      </c>
      <c r="B85" s="333" t="s">
        <v>322</v>
      </c>
      <c r="C85" s="778">
        <f>+SUM(D85:G85)</f>
        <v>-22843062</v>
      </c>
      <c r="D85" s="778">
        <v>-22843062</v>
      </c>
      <c r="E85" s="778">
        <v>0</v>
      </c>
      <c r="F85" s="778">
        <v>0</v>
      </c>
      <c r="G85" s="778">
        <v>0</v>
      </c>
      <c r="H85" s="690"/>
      <c r="I85" s="408" t="s">
        <v>323</v>
      </c>
      <c r="Q85" s="344"/>
      <c r="R85" s="344"/>
      <c r="S85" s="344"/>
      <c r="T85" s="344"/>
      <c r="U85" s="344"/>
    </row>
    <row r="86" spans="1:21" ht="25.15" customHeight="1">
      <c r="A86" s="59">
        <f t="shared" si="10"/>
        <v>32</v>
      </c>
      <c r="B86" s="503" t="s">
        <v>324</v>
      </c>
      <c r="C86" s="778">
        <f>+SUM(D86:G86)</f>
        <v>9229225</v>
      </c>
      <c r="D86" s="778">
        <v>0</v>
      </c>
      <c r="E86" s="778">
        <v>0</v>
      </c>
      <c r="F86" s="778">
        <v>9229225</v>
      </c>
      <c r="G86" s="778">
        <v>0</v>
      </c>
      <c r="H86" s="690"/>
      <c r="I86" s="404" t="s">
        <v>279</v>
      </c>
      <c r="Q86" s="344"/>
      <c r="R86" s="344"/>
      <c r="S86" s="344"/>
      <c r="T86" s="344"/>
      <c r="U86" s="344"/>
    </row>
    <row r="87" spans="1:21" ht="25.15" customHeight="1">
      <c r="A87" s="59">
        <f t="shared" si="10"/>
        <v>33</v>
      </c>
      <c r="B87" s="333" t="s">
        <v>325</v>
      </c>
      <c r="C87" s="778">
        <f>+SUM(D87:G87)</f>
        <v>914031</v>
      </c>
      <c r="D87" s="778">
        <v>0</v>
      </c>
      <c r="E87" s="778">
        <v>0</v>
      </c>
      <c r="F87" s="778">
        <v>0</v>
      </c>
      <c r="G87" s="778">
        <v>914031</v>
      </c>
      <c r="H87" s="690"/>
      <c r="I87" s="408" t="s">
        <v>326</v>
      </c>
      <c r="Q87" s="344"/>
      <c r="R87" s="344"/>
      <c r="S87" s="344"/>
      <c r="T87" s="344"/>
      <c r="U87" s="344"/>
    </row>
    <row r="88" spans="1:21" ht="35.25" customHeight="1">
      <c r="A88" s="59">
        <f>+A87+1</f>
        <v>34</v>
      </c>
      <c r="B88" s="333" t="s">
        <v>294</v>
      </c>
      <c r="C88" s="778">
        <f>+C89-SUM(C82:C87)</f>
        <v>11384094</v>
      </c>
      <c r="D88" s="778">
        <f>+C88</f>
        <v>11384094</v>
      </c>
      <c r="E88" s="778">
        <v>0</v>
      </c>
      <c r="F88" s="778">
        <v>0</v>
      </c>
      <c r="G88" s="778">
        <v>0</v>
      </c>
      <c r="H88" s="690"/>
      <c r="I88" s="408" t="s">
        <v>327</v>
      </c>
      <c r="Q88" s="344"/>
      <c r="R88" s="344"/>
      <c r="S88" s="344"/>
      <c r="T88" s="344"/>
      <c r="U88" s="344"/>
    </row>
    <row r="89" spans="1:21" ht="25.15" customHeight="1">
      <c r="A89" s="59">
        <f t="shared" si="10"/>
        <v>35</v>
      </c>
      <c r="B89" s="174" t="s">
        <v>328</v>
      </c>
      <c r="C89" s="562">
        <v>-18627751</v>
      </c>
      <c r="D89" s="562">
        <f>SUM(D80:D88)</f>
        <v>-28771007</v>
      </c>
      <c r="E89" s="562">
        <f>SUM(E80:E88)</f>
        <v>0</v>
      </c>
      <c r="F89" s="562">
        <f>SUM(F80:F88)</f>
        <v>9229225</v>
      </c>
      <c r="G89" s="562">
        <f t="shared" ref="G89" si="11">SUM(G80:G88)</f>
        <v>914031</v>
      </c>
      <c r="H89" s="562"/>
      <c r="I89" s="175"/>
      <c r="Q89" s="344"/>
      <c r="R89" s="344"/>
      <c r="S89" s="344"/>
      <c r="T89" s="344"/>
      <c r="U89" s="344"/>
    </row>
    <row r="90" spans="1:21" ht="25.15" customHeight="1">
      <c r="A90" s="59">
        <f t="shared" si="10"/>
        <v>36</v>
      </c>
      <c r="B90" s="166" t="s">
        <v>329</v>
      </c>
      <c r="C90" s="554">
        <f t="shared" ref="C90:G90" si="12">+C86</f>
        <v>9229225</v>
      </c>
      <c r="D90" s="554">
        <f t="shared" si="12"/>
        <v>0</v>
      </c>
      <c r="E90" s="554">
        <f t="shared" si="12"/>
        <v>0</v>
      </c>
      <c r="F90" s="554">
        <f t="shared" si="12"/>
        <v>9229225</v>
      </c>
      <c r="G90" s="554">
        <f t="shared" si="12"/>
        <v>0</v>
      </c>
      <c r="H90" s="554"/>
      <c r="I90" s="167"/>
      <c r="Q90" s="344"/>
      <c r="R90" s="344"/>
      <c r="S90" s="344"/>
      <c r="T90" s="344"/>
      <c r="U90" s="344"/>
    </row>
    <row r="91" spans="1:21" ht="25.15" customHeight="1">
      <c r="A91" s="59">
        <f t="shared" si="10"/>
        <v>37</v>
      </c>
      <c r="B91" s="394" t="s">
        <v>330</v>
      </c>
      <c r="C91" s="563">
        <f t="shared" ref="C91:G91" si="13">+C83</f>
        <v>-385279</v>
      </c>
      <c r="D91" s="563">
        <f t="shared" si="13"/>
        <v>-385279</v>
      </c>
      <c r="E91" s="563">
        <f t="shared" si="13"/>
        <v>0</v>
      </c>
      <c r="F91" s="563">
        <f t="shared" si="13"/>
        <v>0</v>
      </c>
      <c r="G91" s="563">
        <f t="shared" si="13"/>
        <v>0</v>
      </c>
      <c r="H91" s="563"/>
      <c r="I91" s="395" t="s">
        <v>331</v>
      </c>
      <c r="Q91" s="344"/>
      <c r="R91" s="344"/>
      <c r="S91" s="344"/>
      <c r="T91" s="344"/>
      <c r="U91" s="344"/>
    </row>
    <row r="92" spans="1:21" ht="35.1" customHeight="1" thickBot="1">
      <c r="A92" s="59">
        <f t="shared" si="10"/>
        <v>38</v>
      </c>
      <c r="B92" s="330" t="s">
        <v>67</v>
      </c>
      <c r="C92" s="557">
        <f>+C89-C90-C91</f>
        <v>-27471697</v>
      </c>
      <c r="D92" s="557">
        <f t="shared" ref="D92:G92" si="14">+D89-D90-D91</f>
        <v>-28385728</v>
      </c>
      <c r="E92" s="557">
        <f t="shared" si="14"/>
        <v>0</v>
      </c>
      <c r="F92" s="557">
        <f t="shared" si="14"/>
        <v>0</v>
      </c>
      <c r="G92" s="557">
        <f t="shared" si="14"/>
        <v>914031</v>
      </c>
      <c r="H92" s="557"/>
      <c r="I92" s="329"/>
      <c r="Q92" s="344"/>
      <c r="R92" s="344"/>
      <c r="S92" s="344"/>
      <c r="T92" s="344"/>
      <c r="U92" s="344"/>
    </row>
    <row r="93" spans="1:21">
      <c r="C93" s="156"/>
      <c r="D93" s="156"/>
      <c r="E93" s="156"/>
      <c r="F93" s="156"/>
      <c r="G93" s="156"/>
      <c r="H93" s="156"/>
      <c r="I93" s="445"/>
      <c r="Q93" s="344"/>
      <c r="R93" s="344"/>
      <c r="S93" s="344"/>
      <c r="T93" s="344"/>
      <c r="U93" s="344"/>
    </row>
    <row r="94" spans="1:21" ht="20.45" customHeight="1">
      <c r="B94" s="45" t="s">
        <v>332</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301</v>
      </c>
      <c r="G96" s="59"/>
      <c r="H96" s="59"/>
      <c r="I96" s="59"/>
    </row>
    <row r="97" spans="2:9" ht="17.45" customHeight="1">
      <c r="B97" s="154" t="s">
        <v>313</v>
      </c>
      <c r="G97" s="59"/>
      <c r="H97" s="59"/>
      <c r="I97" s="59"/>
    </row>
    <row r="98" spans="2:9" ht="19.149999999999999" customHeight="1">
      <c r="B98" s="154" t="s">
        <v>314</v>
      </c>
      <c r="G98" s="59"/>
      <c r="H98" s="59"/>
      <c r="I98" s="59"/>
    </row>
    <row r="99" spans="2:9" ht="19.149999999999999" customHeight="1">
      <c r="B99" s="890" t="s">
        <v>304</v>
      </c>
      <c r="C99" s="890"/>
      <c r="D99" s="890"/>
      <c r="E99" s="890"/>
      <c r="F99" s="890"/>
      <c r="G99" s="890"/>
      <c r="H99" s="890"/>
      <c r="I99" s="890"/>
    </row>
    <row r="100" spans="2:9">
      <c r="B100" s="154" t="s">
        <v>305</v>
      </c>
      <c r="C100" s="59"/>
      <c r="D100" s="469"/>
      <c r="E100" s="59"/>
      <c r="F100" s="59"/>
      <c r="G100" s="59"/>
      <c r="H100" s="59"/>
      <c r="I100" s="445"/>
    </row>
    <row r="101" spans="2:9">
      <c r="C101" s="170"/>
      <c r="D101" s="170"/>
      <c r="E101" s="170"/>
      <c r="F101" s="170"/>
      <c r="G101" s="170"/>
      <c r="H101" s="170"/>
      <c r="I101" s="170"/>
    </row>
    <row r="102" spans="2:9" ht="15.75">
      <c r="B102" s="889"/>
      <c r="C102" s="889"/>
      <c r="D102" s="889"/>
      <c r="E102" s="889"/>
      <c r="F102" s="889"/>
      <c r="G102" s="889"/>
      <c r="H102" s="889"/>
      <c r="I102" s="889"/>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40"/>
  <sheetViews>
    <sheetView topLeftCell="A7" workbookViewId="0">
      <selection activeCell="B40" sqref="B40"/>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89" t="str">
        <f>+'9 - Excess ADIT'!I2</f>
        <v>Dayton Power and Light</v>
      </c>
      <c r="C1" s="889"/>
      <c r="D1" s="889"/>
      <c r="E1" s="889"/>
      <c r="F1" s="889"/>
      <c r="G1" s="889"/>
      <c r="H1" s="889"/>
      <c r="I1" s="889"/>
      <c r="J1" s="889"/>
      <c r="K1" s="889"/>
      <c r="L1" s="889"/>
      <c r="M1" s="889"/>
    </row>
    <row r="2" spans="1:14" ht="15.75">
      <c r="B2" s="889" t="str">
        <f>+'9 - Excess ADIT'!I3</f>
        <v xml:space="preserve">ATTACHMENT H-15A </v>
      </c>
      <c r="C2" s="889"/>
      <c r="D2" s="889"/>
      <c r="E2" s="889"/>
      <c r="F2" s="889"/>
      <c r="G2" s="889"/>
      <c r="H2" s="889"/>
      <c r="I2" s="889"/>
      <c r="J2" s="889"/>
      <c r="K2" s="889"/>
      <c r="L2" s="889"/>
      <c r="M2" s="889"/>
    </row>
    <row r="3" spans="1:14" ht="15.75">
      <c r="B3" s="889" t="s">
        <v>944</v>
      </c>
      <c r="C3" s="889"/>
      <c r="D3" s="889"/>
      <c r="E3" s="889"/>
      <c r="F3" s="889"/>
      <c r="G3" s="889"/>
      <c r="H3" s="889"/>
      <c r="I3" s="889"/>
      <c r="J3" s="889"/>
      <c r="K3" s="889"/>
      <c r="L3" s="889"/>
      <c r="M3" s="889"/>
    </row>
    <row r="4" spans="1:14" ht="15.75">
      <c r="B4" s="938" t="s">
        <v>1022</v>
      </c>
      <c r="C4" s="938"/>
      <c r="D4" s="938"/>
      <c r="E4" s="938"/>
      <c r="F4" s="938"/>
      <c r="G4" s="938"/>
      <c r="H4" s="938"/>
      <c r="I4" s="938"/>
      <c r="J4" s="938"/>
      <c r="K4" s="938"/>
      <c r="L4" s="938"/>
      <c r="M4" s="938"/>
    </row>
    <row r="5" spans="1:14" ht="15.75">
      <c r="B5" s="159"/>
      <c r="C5" s="159"/>
      <c r="D5" s="159"/>
      <c r="E5" s="159"/>
      <c r="F5" s="159"/>
      <c r="G5" s="159"/>
      <c r="H5" s="159"/>
      <c r="I5" s="159"/>
      <c r="J5" s="159"/>
      <c r="K5" s="159"/>
      <c r="L5" s="159"/>
      <c r="M5" s="159"/>
    </row>
    <row r="6" spans="1:14">
      <c r="H6" s="928" t="s">
        <v>945</v>
      </c>
      <c r="I6" s="928"/>
      <c r="J6" s="928"/>
      <c r="K6" s="928"/>
      <c r="L6" s="928"/>
    </row>
    <row r="7" spans="1:14" ht="47.25" customHeight="1">
      <c r="A7" s="354" t="s">
        <v>829</v>
      </c>
      <c r="B7" s="712" t="s">
        <v>773</v>
      </c>
      <c r="C7" s="712"/>
      <c r="D7" s="712" t="s">
        <v>494</v>
      </c>
      <c r="E7" s="712"/>
      <c r="F7" s="712" t="s">
        <v>439</v>
      </c>
      <c r="G7" s="712"/>
      <c r="H7" s="712" t="s">
        <v>56</v>
      </c>
      <c r="I7" s="712"/>
      <c r="J7" s="712" t="s">
        <v>946</v>
      </c>
      <c r="K7" s="712"/>
      <c r="L7" s="712" t="s">
        <v>294</v>
      </c>
      <c r="N7" s="717" t="s">
        <v>947</v>
      </c>
    </row>
    <row r="9" spans="1:14">
      <c r="A9">
        <v>1</v>
      </c>
      <c r="B9" s="354" t="s">
        <v>948</v>
      </c>
      <c r="D9">
        <v>920</v>
      </c>
      <c r="F9" s="813">
        <f>+H9+J9+L9</f>
        <v>18101947</v>
      </c>
      <c r="G9" s="457"/>
      <c r="H9" s="813">
        <v>2607513</v>
      </c>
      <c r="I9" s="180"/>
      <c r="J9" s="813">
        <v>15433629</v>
      </c>
      <c r="K9" s="180"/>
      <c r="L9" s="813">
        <v>60805</v>
      </c>
      <c r="M9" s="354"/>
      <c r="N9" s="814">
        <f>+L9</f>
        <v>60805</v>
      </c>
    </row>
    <row r="10" spans="1:14">
      <c r="F10" s="180"/>
      <c r="G10" s="457"/>
      <c r="H10" s="180"/>
      <c r="I10" s="180"/>
      <c r="J10" s="180"/>
      <c r="K10" s="180"/>
      <c r="L10" s="180"/>
      <c r="M10" s="354"/>
      <c r="N10" s="180"/>
    </row>
    <row r="11" spans="1:14">
      <c r="A11">
        <f>+A9+1</f>
        <v>2</v>
      </c>
      <c r="B11" s="354" t="s">
        <v>949</v>
      </c>
      <c r="D11">
        <v>921</v>
      </c>
      <c r="F11" s="813">
        <f>+H11+J11+L11</f>
        <v>7658075</v>
      </c>
      <c r="G11" s="457"/>
      <c r="H11" s="813">
        <v>651794</v>
      </c>
      <c r="I11" s="180"/>
      <c r="J11" s="813">
        <v>7006281</v>
      </c>
      <c r="K11" s="180"/>
      <c r="L11" s="813">
        <v>0</v>
      </c>
      <c r="M11" s="354"/>
      <c r="N11" s="814">
        <f>+L11</f>
        <v>0</v>
      </c>
    </row>
    <row r="12" spans="1:14">
      <c r="F12" s="180"/>
      <c r="G12" s="457"/>
      <c r="H12" s="180"/>
      <c r="I12" s="180"/>
      <c r="J12" s="180"/>
      <c r="K12" s="180"/>
      <c r="L12" s="180"/>
      <c r="M12" s="354"/>
      <c r="N12" s="180"/>
    </row>
    <row r="13" spans="1:14">
      <c r="A13">
        <f>+A11+1</f>
        <v>3</v>
      </c>
      <c r="B13" s="354" t="s">
        <v>950</v>
      </c>
      <c r="D13">
        <v>922</v>
      </c>
      <c r="F13" s="813">
        <f>+H13+J13+L13</f>
        <v>-1934984</v>
      </c>
      <c r="G13" s="457"/>
      <c r="H13" s="813">
        <v>-189982</v>
      </c>
      <c r="I13" s="180"/>
      <c r="J13" s="813">
        <v>-1745002</v>
      </c>
      <c r="K13" s="180"/>
      <c r="L13" s="813">
        <v>0</v>
      </c>
      <c r="M13" s="354"/>
      <c r="N13" s="814">
        <f>+L13</f>
        <v>0</v>
      </c>
    </row>
    <row r="14" spans="1:14">
      <c r="F14" s="180"/>
      <c r="G14" s="457"/>
      <c r="H14" s="180"/>
      <c r="I14" s="180"/>
      <c r="J14" s="180"/>
      <c r="K14" s="180"/>
      <c r="L14" s="180"/>
      <c r="M14" s="354"/>
      <c r="N14" s="180"/>
    </row>
    <row r="15" spans="1:14">
      <c r="A15">
        <f>+A13+1</f>
        <v>4</v>
      </c>
      <c r="B15" s="354" t="s">
        <v>951</v>
      </c>
      <c r="D15">
        <v>923</v>
      </c>
      <c r="F15" s="813">
        <f>+H15+J15+L15</f>
        <v>22546435</v>
      </c>
      <c r="G15" s="457"/>
      <c r="H15" s="813">
        <v>1091973</v>
      </c>
      <c r="I15" s="180"/>
      <c r="J15" s="813">
        <v>21454462</v>
      </c>
      <c r="K15" s="180"/>
      <c r="L15" s="813">
        <v>0</v>
      </c>
      <c r="M15" s="354"/>
      <c r="N15" s="814">
        <f>+L15</f>
        <v>0</v>
      </c>
    </row>
    <row r="16" spans="1:14">
      <c r="F16" s="180"/>
      <c r="G16" s="457"/>
      <c r="H16" s="180"/>
      <c r="I16" s="180"/>
      <c r="J16" s="180"/>
      <c r="K16" s="180"/>
      <c r="L16" s="180"/>
      <c r="M16" s="354"/>
      <c r="N16" s="180"/>
    </row>
    <row r="17" spans="1:14">
      <c r="A17">
        <f>+A15+1</f>
        <v>5</v>
      </c>
      <c r="B17" s="354" t="s">
        <v>952</v>
      </c>
      <c r="D17">
        <v>924</v>
      </c>
      <c r="F17" s="813">
        <f>+H17+J17+L17</f>
        <v>4435296</v>
      </c>
      <c r="G17" s="457"/>
      <c r="H17" s="813">
        <v>1324926</v>
      </c>
      <c r="I17" s="180"/>
      <c r="J17" s="813">
        <v>3110370</v>
      </c>
      <c r="K17" s="180"/>
      <c r="L17" s="813">
        <v>0</v>
      </c>
      <c r="M17" s="354"/>
      <c r="N17" s="814">
        <f>+L17</f>
        <v>0</v>
      </c>
    </row>
    <row r="18" spans="1:14">
      <c r="F18" s="180"/>
      <c r="G18" s="457"/>
      <c r="H18" s="180"/>
      <c r="I18" s="180"/>
      <c r="J18" s="180"/>
      <c r="K18" s="180"/>
      <c r="L18" s="180"/>
      <c r="M18" s="354"/>
      <c r="N18" s="180"/>
    </row>
    <row r="19" spans="1:14">
      <c r="A19">
        <f>+A17+1</f>
        <v>6</v>
      </c>
      <c r="B19" s="354" t="s">
        <v>953</v>
      </c>
      <c r="D19">
        <v>925</v>
      </c>
      <c r="F19" s="813">
        <f>+H19+J19+L19</f>
        <v>3829355</v>
      </c>
      <c r="G19" s="457"/>
      <c r="H19" s="813">
        <v>475657</v>
      </c>
      <c r="I19" s="180"/>
      <c r="J19" s="813">
        <v>3351239</v>
      </c>
      <c r="K19" s="180"/>
      <c r="L19" s="813">
        <v>2459</v>
      </c>
      <c r="M19" s="354"/>
      <c r="N19" s="814">
        <f>+L19</f>
        <v>2459</v>
      </c>
    </row>
    <row r="20" spans="1:14">
      <c r="F20" s="180"/>
      <c r="G20" s="457"/>
      <c r="H20" s="180"/>
      <c r="I20" s="180"/>
      <c r="J20" s="180"/>
      <c r="K20" s="180"/>
      <c r="L20" s="180"/>
      <c r="M20" s="354"/>
      <c r="N20" s="180"/>
    </row>
    <row r="21" spans="1:14">
      <c r="A21">
        <f>+A19+1</f>
        <v>7</v>
      </c>
      <c r="B21" s="354" t="s">
        <v>954</v>
      </c>
      <c r="D21">
        <v>926</v>
      </c>
      <c r="F21" s="813">
        <f>+H21+J21+L21</f>
        <v>9468957</v>
      </c>
      <c r="G21" s="457"/>
      <c r="H21" s="813">
        <v>824202</v>
      </c>
      <c r="I21" s="180"/>
      <c r="J21" s="813">
        <v>8638938</v>
      </c>
      <c r="K21" s="180"/>
      <c r="L21" s="813">
        <v>5817</v>
      </c>
      <c r="M21" s="354"/>
      <c r="N21" s="814">
        <f>+L21</f>
        <v>5817</v>
      </c>
    </row>
    <row r="22" spans="1:14">
      <c r="F22" s="180"/>
      <c r="G22" s="457"/>
      <c r="H22" s="180"/>
      <c r="I22" s="180"/>
      <c r="J22" s="180"/>
      <c r="K22" s="180"/>
      <c r="L22" s="180"/>
      <c r="M22" s="354"/>
      <c r="N22" s="180"/>
    </row>
    <row r="23" spans="1:14">
      <c r="A23">
        <f>+A21+1</f>
        <v>8</v>
      </c>
      <c r="B23" s="354" t="s">
        <v>955</v>
      </c>
      <c r="D23">
        <v>927</v>
      </c>
      <c r="F23" s="813">
        <f>+H23+J23+L23</f>
        <v>0</v>
      </c>
      <c r="G23" s="457"/>
      <c r="H23" s="813">
        <v>0</v>
      </c>
      <c r="I23" s="180"/>
      <c r="J23" s="813">
        <v>0</v>
      </c>
      <c r="K23" s="180"/>
      <c r="L23" s="813">
        <v>0</v>
      </c>
      <c r="M23" s="354"/>
      <c r="N23" s="814">
        <f>+L23</f>
        <v>0</v>
      </c>
    </row>
    <row r="24" spans="1:14">
      <c r="F24" s="180"/>
      <c r="G24" s="457"/>
      <c r="H24" s="180"/>
      <c r="I24" s="180"/>
      <c r="J24" s="180"/>
      <c r="K24" s="180"/>
      <c r="L24" s="180"/>
      <c r="M24" s="354"/>
      <c r="N24" s="180"/>
    </row>
    <row r="25" spans="1:14">
      <c r="A25">
        <f>+A23+1</f>
        <v>9</v>
      </c>
      <c r="B25" s="354" t="s">
        <v>956</v>
      </c>
      <c r="D25">
        <v>928</v>
      </c>
      <c r="F25" s="813">
        <f>+H25+J25+L25</f>
        <v>4461686</v>
      </c>
      <c r="G25" s="457"/>
      <c r="H25" s="813">
        <v>137187</v>
      </c>
      <c r="I25" s="180"/>
      <c r="J25" s="813">
        <v>4324499</v>
      </c>
      <c r="K25" s="180"/>
      <c r="L25" s="813">
        <v>0</v>
      </c>
      <c r="M25" s="354"/>
      <c r="N25" s="814">
        <f>+L25</f>
        <v>0</v>
      </c>
    </row>
    <row r="26" spans="1:14">
      <c r="F26" s="180"/>
      <c r="G26" s="457"/>
      <c r="H26" s="180"/>
      <c r="I26" s="180"/>
      <c r="J26" s="180"/>
      <c r="K26" s="180"/>
      <c r="L26" s="180"/>
      <c r="M26" s="354"/>
      <c r="N26" s="180"/>
    </row>
    <row r="27" spans="1:14">
      <c r="A27">
        <f>+A25+1</f>
        <v>10</v>
      </c>
      <c r="B27" s="354" t="s">
        <v>957</v>
      </c>
      <c r="D27">
        <v>929</v>
      </c>
      <c r="F27" s="813">
        <f>+H27+J27+L27</f>
        <v>-1076464</v>
      </c>
      <c r="G27" s="457"/>
      <c r="H27" s="813">
        <v>0</v>
      </c>
      <c r="I27" s="180"/>
      <c r="J27" s="813">
        <v>-1076464</v>
      </c>
      <c r="K27" s="180"/>
      <c r="L27" s="813">
        <v>0</v>
      </c>
      <c r="M27" s="354"/>
      <c r="N27" s="814">
        <f>+L27</f>
        <v>0</v>
      </c>
    </row>
    <row r="28" spans="1:14">
      <c r="F28" s="180"/>
      <c r="G28" s="457"/>
      <c r="H28" s="180"/>
      <c r="I28" s="180"/>
      <c r="J28" s="180"/>
      <c r="K28" s="180"/>
      <c r="L28" s="180"/>
      <c r="M28" s="354"/>
      <c r="N28" s="180"/>
    </row>
    <row r="29" spans="1:14">
      <c r="A29">
        <f>+A27+1</f>
        <v>11</v>
      </c>
      <c r="B29" s="354" t="s">
        <v>958</v>
      </c>
      <c r="D29">
        <v>930.1</v>
      </c>
      <c r="F29" s="813">
        <f>+H29+J29+L29</f>
        <v>770582</v>
      </c>
      <c r="G29" s="457"/>
      <c r="H29" s="813">
        <v>16410</v>
      </c>
      <c r="I29" s="180"/>
      <c r="J29" s="813">
        <v>754172</v>
      </c>
      <c r="K29" s="180"/>
      <c r="L29" s="813">
        <v>0</v>
      </c>
      <c r="M29" s="354"/>
      <c r="N29" s="814">
        <f>+L29</f>
        <v>0</v>
      </c>
    </row>
    <row r="30" spans="1:14">
      <c r="F30" s="180"/>
      <c r="G30" s="457"/>
      <c r="H30" s="180"/>
      <c r="I30" s="180"/>
      <c r="J30" s="180"/>
      <c r="K30" s="180"/>
      <c r="L30" s="180"/>
      <c r="M30" s="354"/>
      <c r="N30" s="180"/>
    </row>
    <row r="31" spans="1:14">
      <c r="A31">
        <f>+A29+1</f>
        <v>12</v>
      </c>
      <c r="B31" s="354" t="s">
        <v>959</v>
      </c>
      <c r="D31">
        <v>930.2</v>
      </c>
      <c r="F31" s="813">
        <f>+H31+J31+L31</f>
        <v>1089782</v>
      </c>
      <c r="G31" s="457"/>
      <c r="H31" s="813">
        <v>28626</v>
      </c>
      <c r="I31" s="180"/>
      <c r="J31" s="813">
        <v>1061156</v>
      </c>
      <c r="K31" s="180"/>
      <c r="L31" s="813">
        <v>0</v>
      </c>
      <c r="M31" s="354"/>
      <c r="N31" s="814">
        <f>+L31</f>
        <v>0</v>
      </c>
    </row>
    <row r="32" spans="1:14">
      <c r="F32" s="180"/>
      <c r="G32" s="457"/>
      <c r="H32" s="180"/>
      <c r="I32" s="180"/>
      <c r="J32" s="180"/>
      <c r="K32" s="180"/>
      <c r="L32" s="180"/>
      <c r="M32" s="354"/>
      <c r="N32" s="180"/>
    </row>
    <row r="33" spans="1:14">
      <c r="A33">
        <f>+A31+1</f>
        <v>13</v>
      </c>
      <c r="B33" s="354" t="s">
        <v>960</v>
      </c>
      <c r="D33">
        <v>931</v>
      </c>
      <c r="F33" s="813">
        <f>+H33+J33+L33</f>
        <v>150956</v>
      </c>
      <c r="G33" s="457"/>
      <c r="H33" s="813">
        <v>6505</v>
      </c>
      <c r="I33" s="180"/>
      <c r="J33" s="813">
        <v>144451</v>
      </c>
      <c r="K33" s="180"/>
      <c r="L33" s="813">
        <v>0</v>
      </c>
      <c r="M33" s="354"/>
      <c r="N33" s="814">
        <f>+L33</f>
        <v>0</v>
      </c>
    </row>
    <row r="34" spans="1:14">
      <c r="F34" s="180"/>
      <c r="G34" s="457"/>
      <c r="H34" s="180"/>
      <c r="I34" s="180"/>
      <c r="J34" s="180"/>
      <c r="K34" s="180"/>
      <c r="L34" s="180"/>
      <c r="M34" s="354"/>
      <c r="N34" s="180"/>
    </row>
    <row r="35" spans="1:14">
      <c r="A35">
        <f>+A33+1</f>
        <v>14</v>
      </c>
      <c r="B35" s="354" t="s">
        <v>961</v>
      </c>
      <c r="D35">
        <v>935</v>
      </c>
      <c r="F35" s="813">
        <f>+H35+J35+L35</f>
        <v>5460998</v>
      </c>
      <c r="G35" s="457"/>
      <c r="H35" s="813">
        <v>128396</v>
      </c>
      <c r="I35" s="180"/>
      <c r="J35" s="813">
        <v>5332602</v>
      </c>
      <c r="K35" s="180"/>
      <c r="L35" s="813">
        <v>0</v>
      </c>
      <c r="M35" s="354"/>
      <c r="N35" s="814">
        <f>+L35</f>
        <v>0</v>
      </c>
    </row>
    <row r="36" spans="1:14">
      <c r="F36" s="774"/>
      <c r="G36" s="713"/>
      <c r="H36" s="774"/>
      <c r="I36" s="713"/>
      <c r="J36" s="774"/>
      <c r="K36" s="713"/>
      <c r="L36" s="774"/>
      <c r="N36" s="713"/>
    </row>
    <row r="37" spans="1:14">
      <c r="A37">
        <f>+A35+1</f>
        <v>15</v>
      </c>
      <c r="B37" s="354" t="s">
        <v>67</v>
      </c>
      <c r="F37" s="636">
        <f>+SUM(F9:F35)</f>
        <v>74962621</v>
      </c>
      <c r="G37" s="636"/>
      <c r="H37" s="636">
        <f>+SUM(H9:H35)</f>
        <v>7103207</v>
      </c>
      <c r="I37" s="636"/>
      <c r="J37" s="636">
        <f>+SUM(J9:J35)</f>
        <v>67790333</v>
      </c>
      <c r="K37" s="636"/>
      <c r="L37" s="636">
        <f>+SUM(L9:L35)</f>
        <v>69081</v>
      </c>
      <c r="M37" s="636"/>
      <c r="N37" s="636">
        <f>+SUM(N9:N35)</f>
        <v>69081</v>
      </c>
    </row>
    <row r="40" spans="1:14">
      <c r="B40" s="870" t="s">
        <v>1036</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O11" sqref="O11:O23"/>
    </sheetView>
  </sheetViews>
  <sheetFormatPr defaultRowHeight="12.75"/>
  <cols>
    <col min="1" max="1" width="4.5703125" customWidth="1"/>
    <col min="2" max="2" width="37.855468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3.5703125" bestFit="1" customWidth="1"/>
    <col min="16" max="16" width="11.28515625" customWidth="1"/>
    <col min="17" max="17" width="12.140625" bestFit="1" customWidth="1"/>
    <col min="18" max="18" width="14.7109375" customWidth="1"/>
    <col min="19" max="19" width="21.7109375" customWidth="1"/>
  </cols>
  <sheetData>
    <row r="1" spans="1:19" ht="18">
      <c r="H1" s="771" t="s">
        <v>0</v>
      </c>
      <c r="S1" s="627"/>
    </row>
    <row r="2" spans="1:19" ht="18">
      <c r="H2" s="771" t="s">
        <v>333</v>
      </c>
    </row>
    <row r="3" spans="1:19" ht="18">
      <c r="B3" s="391"/>
      <c r="C3" s="400"/>
      <c r="D3" s="400"/>
      <c r="E3" s="400"/>
      <c r="F3" s="400"/>
      <c r="G3" s="400"/>
      <c r="H3" s="431" t="s">
        <v>996</v>
      </c>
      <c r="I3" s="398"/>
      <c r="J3" s="400"/>
      <c r="K3" s="400"/>
      <c r="L3" s="400"/>
      <c r="M3" s="400"/>
      <c r="N3" s="400"/>
      <c r="O3" s="400"/>
      <c r="P3" s="400"/>
      <c r="Q3" s="400"/>
      <c r="R3" s="400"/>
    </row>
    <row r="4" spans="1:19" ht="18">
      <c r="B4" s="841" t="s">
        <v>962</v>
      </c>
      <c r="C4" s="400"/>
      <c r="D4" s="400"/>
      <c r="E4" s="400"/>
      <c r="F4" s="400"/>
      <c r="G4" s="400"/>
      <c r="H4" s="431"/>
      <c r="I4" s="398"/>
      <c r="J4" s="400"/>
      <c r="K4" s="400"/>
      <c r="L4" s="400"/>
      <c r="M4" s="400"/>
      <c r="N4" s="400"/>
      <c r="O4" s="400"/>
      <c r="P4" s="400"/>
      <c r="Q4" s="400"/>
      <c r="R4" s="400"/>
    </row>
    <row r="5" spans="1:19" ht="18">
      <c r="B5" s="45" t="s">
        <v>334</v>
      </c>
      <c r="C5" s="400"/>
      <c r="D5" s="400"/>
      <c r="E5" s="400"/>
      <c r="F5" s="400"/>
      <c r="G5" s="400"/>
      <c r="H5" s="431"/>
      <c r="I5" s="398"/>
      <c r="J5" s="400"/>
      <c r="K5" s="400"/>
      <c r="L5" s="400"/>
      <c r="M5" s="400"/>
      <c r="N5" s="400"/>
      <c r="O5" s="400"/>
      <c r="P5" s="400"/>
      <c r="Q5" s="400"/>
      <c r="R5" s="400"/>
    </row>
    <row r="6" spans="1:19" ht="15">
      <c r="A6" s="45"/>
      <c r="B6" s="541" t="s">
        <v>1033</v>
      </c>
      <c r="C6" s="390"/>
      <c r="D6" s="390"/>
      <c r="E6" s="390"/>
      <c r="F6" s="390"/>
      <c r="G6" s="390"/>
      <c r="H6" s="45"/>
      <c r="I6" s="45"/>
      <c r="J6" s="390"/>
      <c r="K6" s="390"/>
      <c r="L6" s="390"/>
      <c r="M6" s="390"/>
      <c r="N6" s="390"/>
      <c r="O6" s="390"/>
      <c r="P6" s="390"/>
      <c r="Q6" s="390"/>
      <c r="R6" s="390"/>
    </row>
    <row r="7" spans="1:19" ht="15">
      <c r="A7" s="45"/>
      <c r="B7" s="396" t="s">
        <v>335</v>
      </c>
      <c r="C7" s="390"/>
      <c r="D7" s="390"/>
      <c r="E7" s="390"/>
      <c r="F7" s="390"/>
      <c r="G7" s="390"/>
      <c r="H7" s="390"/>
      <c r="I7" s="390"/>
      <c r="J7" s="390"/>
      <c r="K7" s="390"/>
      <c r="L7" s="390"/>
      <c r="M7" s="390"/>
      <c r="N7" s="390"/>
      <c r="O7" s="390"/>
      <c r="P7" s="390"/>
      <c r="Q7" s="390"/>
      <c r="R7" s="390"/>
    </row>
    <row r="8" spans="1:19" ht="15">
      <c r="A8" s="45"/>
      <c r="B8" s="391" t="s">
        <v>336</v>
      </c>
      <c r="C8" s="391" t="s">
        <v>337</v>
      </c>
      <c r="D8" s="391" t="s">
        <v>338</v>
      </c>
      <c r="E8" s="391" t="s">
        <v>339</v>
      </c>
      <c r="F8" s="391" t="s">
        <v>340</v>
      </c>
      <c r="G8" s="391" t="s">
        <v>341</v>
      </c>
      <c r="H8" s="391" t="s">
        <v>342</v>
      </c>
      <c r="I8" s="391" t="s">
        <v>343</v>
      </c>
      <c r="J8" s="391" t="s">
        <v>344</v>
      </c>
      <c r="K8" s="391" t="s">
        <v>345</v>
      </c>
      <c r="L8" s="391" t="s">
        <v>346</v>
      </c>
      <c r="M8" s="391" t="s">
        <v>347</v>
      </c>
      <c r="N8" s="391" t="s">
        <v>348</v>
      </c>
      <c r="O8" s="391" t="s">
        <v>349</v>
      </c>
      <c r="P8" s="391" t="s">
        <v>350</v>
      </c>
      <c r="Q8" s="391" t="s">
        <v>351</v>
      </c>
      <c r="R8" s="391" t="s">
        <v>352</v>
      </c>
      <c r="S8" s="391" t="s">
        <v>353</v>
      </c>
    </row>
    <row r="9" spans="1:19" ht="75">
      <c r="A9" s="45"/>
      <c r="B9" s="397" t="s">
        <v>354</v>
      </c>
      <c r="C9" s="397" t="s">
        <v>355</v>
      </c>
      <c r="D9" s="397" t="s">
        <v>356</v>
      </c>
      <c r="E9" s="397" t="s">
        <v>357</v>
      </c>
      <c r="F9" s="397" t="s">
        <v>358</v>
      </c>
      <c r="G9" s="397" t="s">
        <v>359</v>
      </c>
      <c r="H9" s="397" t="s">
        <v>360</v>
      </c>
      <c r="I9" s="397" t="s">
        <v>56</v>
      </c>
      <c r="J9" s="397" t="s">
        <v>361</v>
      </c>
      <c r="K9" s="397" t="s">
        <v>362</v>
      </c>
      <c r="L9" s="397" t="s">
        <v>20</v>
      </c>
      <c r="M9" s="397" t="s">
        <v>363</v>
      </c>
      <c r="N9" s="397" t="s">
        <v>364</v>
      </c>
      <c r="O9" s="397" t="s">
        <v>365</v>
      </c>
      <c r="P9" s="397" t="s">
        <v>68</v>
      </c>
      <c r="Q9" s="397" t="s">
        <v>366</v>
      </c>
      <c r="R9" s="397" t="s">
        <v>367</v>
      </c>
      <c r="S9" s="397" t="s">
        <v>368</v>
      </c>
    </row>
    <row r="10" spans="1:19" ht="15">
      <c r="A10" s="45"/>
      <c r="B10" s="396"/>
      <c r="C10" s="391"/>
      <c r="D10" s="391"/>
      <c r="E10" s="391"/>
      <c r="F10" s="391"/>
      <c r="G10" s="391"/>
      <c r="H10" s="391"/>
      <c r="I10" s="391"/>
      <c r="J10" s="390"/>
      <c r="K10" s="390"/>
      <c r="L10" s="390"/>
      <c r="M10" s="390"/>
      <c r="N10" s="390"/>
      <c r="O10" s="390"/>
      <c r="P10" s="390"/>
      <c r="Q10" s="390"/>
      <c r="R10" s="179"/>
      <c r="S10" s="179"/>
    </row>
    <row r="11" spans="1:19" ht="45">
      <c r="A11" s="59">
        <v>1</v>
      </c>
      <c r="B11" s="454" t="s">
        <v>369</v>
      </c>
      <c r="C11" s="453">
        <v>0</v>
      </c>
      <c r="D11" s="453"/>
      <c r="E11" s="453"/>
      <c r="F11" s="453"/>
      <c r="G11" s="43">
        <f>365/365</f>
        <v>1</v>
      </c>
      <c r="H11" s="564">
        <f>+J11+N11+R11</f>
        <v>-36083641.482434168</v>
      </c>
      <c r="I11" s="565">
        <v>-34893699</v>
      </c>
      <c r="J11" s="566">
        <f>G11*I11</f>
        <v>-34893699</v>
      </c>
      <c r="K11" s="565">
        <v>0</v>
      </c>
      <c r="L11" s="461">
        <f>+'Appendix A'!$H$27</f>
        <v>0.26818076319772116</v>
      </c>
      <c r="M11" s="629">
        <f>+K11*L11</f>
        <v>0</v>
      </c>
      <c r="N11" s="566">
        <f>+G11*M11</f>
        <v>0</v>
      </c>
      <c r="O11" s="565">
        <v>-9512912</v>
      </c>
      <c r="P11" s="461">
        <f>+'Appendix A'!$H$16</f>
        <v>0.12508709030780155</v>
      </c>
      <c r="Q11" s="629">
        <f>+O11*P11</f>
        <v>-1189942.4824341689</v>
      </c>
      <c r="R11" s="566">
        <f>+G11*Q11</f>
        <v>-1189942.4824341689</v>
      </c>
      <c r="S11" s="5">
        <f>+J11+N11+R11</f>
        <v>-36083641.482434168</v>
      </c>
    </row>
    <row r="12" spans="1:19" ht="15">
      <c r="A12" s="59">
        <f>+A11+1</f>
        <v>2</v>
      </c>
      <c r="B12" s="390" t="s">
        <v>370</v>
      </c>
      <c r="C12" s="453">
        <v>0</v>
      </c>
      <c r="D12" s="409">
        <v>31</v>
      </c>
      <c r="E12" s="410">
        <f>E13+D13</f>
        <v>335</v>
      </c>
      <c r="F12" s="410">
        <f>SUM(D12:D23)</f>
        <v>365</v>
      </c>
      <c r="G12" s="43">
        <f>335/365</f>
        <v>0.9178082191780822</v>
      </c>
      <c r="H12" s="564">
        <f t="shared" ref="H12:H24" si="0">+J12+N12+R12</f>
        <v>-501825.42949274194</v>
      </c>
      <c r="I12" s="565">
        <v>-534348</v>
      </c>
      <c r="J12" s="566">
        <f t="shared" ref="J12:J23" si="1">G12*I12</f>
        <v>-490428.98630136985</v>
      </c>
      <c r="K12" s="35">
        <v>0</v>
      </c>
      <c r="L12" s="461">
        <f>+'Appendix A'!$H$27</f>
        <v>0.26818076319772116</v>
      </c>
      <c r="M12" s="629">
        <f t="shared" ref="M12:M23" si="2">+K12*L12</f>
        <v>0</v>
      </c>
      <c r="N12" s="566">
        <f t="shared" ref="N12:N23" si="3">+G12*M12</f>
        <v>0</v>
      </c>
      <c r="O12" s="565">
        <v>-99267</v>
      </c>
      <c r="P12" s="461">
        <f>+'Appendix A'!$H$16</f>
        <v>0.12508709030780155</v>
      </c>
      <c r="Q12" s="629">
        <f t="shared" ref="Q12:Q23" si="4">+O12*P12</f>
        <v>-12417.020193584536</v>
      </c>
      <c r="R12" s="566">
        <f t="shared" ref="R12:R23" si="5">+G12*Q12</f>
        <v>-11396.443191372109</v>
      </c>
      <c r="S12" s="5">
        <f t="shared" ref="S12:S24" si="6">+J12+N12+R12</f>
        <v>-501825.42949274194</v>
      </c>
    </row>
    <row r="13" spans="1:19" ht="15">
      <c r="A13" s="59">
        <f t="shared" ref="A13:A24" si="7">+A12+1</f>
        <v>3</v>
      </c>
      <c r="B13" s="390" t="s">
        <v>371</v>
      </c>
      <c r="C13" s="453">
        <f>+$C$12</f>
        <v>0</v>
      </c>
      <c r="D13" s="411">
        <v>28</v>
      </c>
      <c r="E13" s="410">
        <f t="shared" ref="E13:E20" si="8">E14+D14</f>
        <v>307</v>
      </c>
      <c r="F13" s="410">
        <f>F12</f>
        <v>365</v>
      </c>
      <c r="G13" s="43">
        <f>307/365</f>
        <v>0.84109589041095889</v>
      </c>
      <c r="H13" s="564">
        <f t="shared" si="0"/>
        <v>-459881.81150528888</v>
      </c>
      <c r="I13" s="565">
        <v>-534348</v>
      </c>
      <c r="J13" s="566">
        <f t="shared" si="1"/>
        <v>-449437.90684931504</v>
      </c>
      <c r="K13" s="35">
        <v>0</v>
      </c>
      <c r="L13" s="461">
        <f>+'Appendix A'!$H$27</f>
        <v>0.26818076319772116</v>
      </c>
      <c r="M13" s="629">
        <f t="shared" si="2"/>
        <v>0</v>
      </c>
      <c r="N13" s="566">
        <f t="shared" si="3"/>
        <v>0</v>
      </c>
      <c r="O13" s="565">
        <v>-99267</v>
      </c>
      <c r="P13" s="461">
        <f>+'Appendix A'!$H$16</f>
        <v>0.12508709030780155</v>
      </c>
      <c r="Q13" s="629">
        <f t="shared" si="4"/>
        <v>-12417.020193584536</v>
      </c>
      <c r="R13" s="566">
        <f t="shared" si="5"/>
        <v>-10443.904655973842</v>
      </c>
      <c r="S13" s="5">
        <f t="shared" si="6"/>
        <v>-459881.81150528888</v>
      </c>
    </row>
    <row r="14" spans="1:19" ht="15">
      <c r="A14" s="59">
        <f t="shared" si="7"/>
        <v>4</v>
      </c>
      <c r="B14" s="390" t="s">
        <v>372</v>
      </c>
      <c r="C14" s="453">
        <f t="shared" ref="C14:C23" si="9">+$C$12</f>
        <v>0</v>
      </c>
      <c r="D14" s="409">
        <v>31</v>
      </c>
      <c r="E14" s="410">
        <f t="shared" si="8"/>
        <v>276</v>
      </c>
      <c r="F14" s="410">
        <f t="shared" ref="F14:F23" si="10">F13</f>
        <v>365</v>
      </c>
      <c r="G14" s="43">
        <f>276/365</f>
        <v>0.75616438356164384</v>
      </c>
      <c r="H14" s="564">
        <f t="shared" si="0"/>
        <v>-413444.2344477516</v>
      </c>
      <c r="I14" s="565">
        <v>-534348</v>
      </c>
      <c r="J14" s="566">
        <f t="shared" si="1"/>
        <v>-404054.92602739728</v>
      </c>
      <c r="K14" s="35">
        <v>0</v>
      </c>
      <c r="L14" s="461">
        <f>+'Appendix A'!$H$27</f>
        <v>0.26818076319772116</v>
      </c>
      <c r="M14" s="629">
        <f t="shared" si="2"/>
        <v>0</v>
      </c>
      <c r="N14" s="566">
        <f t="shared" si="3"/>
        <v>0</v>
      </c>
      <c r="O14" s="565">
        <v>-99267</v>
      </c>
      <c r="P14" s="461">
        <f>+'Appendix A'!$H$16</f>
        <v>0.12508709030780155</v>
      </c>
      <c r="Q14" s="629">
        <f t="shared" si="4"/>
        <v>-12417.020193584536</v>
      </c>
      <c r="R14" s="566">
        <f t="shared" si="5"/>
        <v>-9389.3084203543349</v>
      </c>
      <c r="S14" s="5">
        <f t="shared" si="6"/>
        <v>-413444.2344477516</v>
      </c>
    </row>
    <row r="15" spans="1:19" ht="15">
      <c r="A15" s="59">
        <f t="shared" si="7"/>
        <v>5</v>
      </c>
      <c r="B15" s="390" t="s">
        <v>373</v>
      </c>
      <c r="C15" s="453">
        <f t="shared" si="9"/>
        <v>0</v>
      </c>
      <c r="D15" s="409">
        <v>30</v>
      </c>
      <c r="E15" s="410">
        <f t="shared" si="8"/>
        <v>246</v>
      </c>
      <c r="F15" s="410">
        <f t="shared" si="10"/>
        <v>365</v>
      </c>
      <c r="G15" s="43">
        <f>246/365</f>
        <v>0.67397260273972603</v>
      </c>
      <c r="H15" s="564">
        <f t="shared" si="0"/>
        <v>-368504.64374690905</v>
      </c>
      <c r="I15" s="565">
        <v>-534348</v>
      </c>
      <c r="J15" s="566">
        <f t="shared" si="1"/>
        <v>-360135.91232876712</v>
      </c>
      <c r="K15" s="35">
        <v>0</v>
      </c>
      <c r="L15" s="461">
        <f>+'Appendix A'!$H$27</f>
        <v>0.26818076319772116</v>
      </c>
      <c r="M15" s="629">
        <f t="shared" si="2"/>
        <v>0</v>
      </c>
      <c r="N15" s="566">
        <f t="shared" si="3"/>
        <v>0</v>
      </c>
      <c r="O15" s="565">
        <v>-99267</v>
      </c>
      <c r="P15" s="461">
        <f>+'Appendix A'!$H$16</f>
        <v>0.12508709030780155</v>
      </c>
      <c r="Q15" s="629">
        <f t="shared" si="4"/>
        <v>-12417.020193584536</v>
      </c>
      <c r="R15" s="566">
        <f t="shared" si="5"/>
        <v>-8368.731418141906</v>
      </c>
      <c r="S15" s="5">
        <f t="shared" si="6"/>
        <v>-368504.64374690905</v>
      </c>
    </row>
    <row r="16" spans="1:19" ht="15">
      <c r="A16" s="59">
        <f t="shared" si="7"/>
        <v>6</v>
      </c>
      <c r="B16" s="390" t="s">
        <v>374</v>
      </c>
      <c r="C16" s="453">
        <f t="shared" si="9"/>
        <v>0</v>
      </c>
      <c r="D16" s="409">
        <v>31</v>
      </c>
      <c r="E16" s="410">
        <f t="shared" si="8"/>
        <v>215</v>
      </c>
      <c r="F16" s="410">
        <f t="shared" si="10"/>
        <v>365</v>
      </c>
      <c r="G16" s="43">
        <f>215/365</f>
        <v>0.58904109589041098</v>
      </c>
      <c r="H16" s="564">
        <f t="shared" si="0"/>
        <v>-322067.06668937171</v>
      </c>
      <c r="I16" s="565">
        <v>-534348</v>
      </c>
      <c r="J16" s="566">
        <f t="shared" si="1"/>
        <v>-314752.9315068493</v>
      </c>
      <c r="K16" s="35">
        <v>0</v>
      </c>
      <c r="L16" s="461">
        <f>+'Appendix A'!$H$27</f>
        <v>0.26818076319772116</v>
      </c>
      <c r="M16" s="629">
        <f t="shared" si="2"/>
        <v>0</v>
      </c>
      <c r="N16" s="566">
        <f t="shared" si="3"/>
        <v>0</v>
      </c>
      <c r="O16" s="565">
        <v>-99267</v>
      </c>
      <c r="P16" s="461">
        <f>+'Appendix A'!$H$16</f>
        <v>0.12508709030780155</v>
      </c>
      <c r="Q16" s="629">
        <f t="shared" si="4"/>
        <v>-12417.020193584536</v>
      </c>
      <c r="R16" s="566">
        <f t="shared" si="5"/>
        <v>-7314.1351825223983</v>
      </c>
      <c r="S16" s="5">
        <f t="shared" si="6"/>
        <v>-322067.06668937171</v>
      </c>
    </row>
    <row r="17" spans="1:19" ht="15">
      <c r="A17" s="59">
        <f t="shared" si="7"/>
        <v>7</v>
      </c>
      <c r="B17" s="390" t="s">
        <v>375</v>
      </c>
      <c r="C17" s="453">
        <f t="shared" si="9"/>
        <v>0</v>
      </c>
      <c r="D17" s="409">
        <v>30</v>
      </c>
      <c r="E17" s="410">
        <f t="shared" si="8"/>
        <v>185</v>
      </c>
      <c r="F17" s="410">
        <f t="shared" si="10"/>
        <v>365</v>
      </c>
      <c r="G17" s="43">
        <f>185/365</f>
        <v>0.50684931506849318</v>
      </c>
      <c r="H17" s="564">
        <f t="shared" si="0"/>
        <v>-277127.47598852916</v>
      </c>
      <c r="I17" s="565">
        <v>-534348</v>
      </c>
      <c r="J17" s="566">
        <f t="shared" si="1"/>
        <v>-270833.91780821921</v>
      </c>
      <c r="K17" s="35">
        <v>0</v>
      </c>
      <c r="L17" s="461">
        <f>+'Appendix A'!$H$27</f>
        <v>0.26818076319772116</v>
      </c>
      <c r="M17" s="629">
        <f t="shared" si="2"/>
        <v>0</v>
      </c>
      <c r="N17" s="566">
        <f t="shared" si="3"/>
        <v>0</v>
      </c>
      <c r="O17" s="565">
        <v>-99267</v>
      </c>
      <c r="P17" s="461">
        <f>+'Appendix A'!$H$16</f>
        <v>0.12508709030780155</v>
      </c>
      <c r="Q17" s="629">
        <f t="shared" si="4"/>
        <v>-12417.020193584536</v>
      </c>
      <c r="R17" s="566">
        <f t="shared" si="5"/>
        <v>-6293.5581803099703</v>
      </c>
      <c r="S17" s="5">
        <f t="shared" si="6"/>
        <v>-277127.47598852916</v>
      </c>
    </row>
    <row r="18" spans="1:19" ht="15">
      <c r="A18" s="59">
        <f t="shared" si="7"/>
        <v>8</v>
      </c>
      <c r="B18" s="390" t="s">
        <v>376</v>
      </c>
      <c r="C18" s="453">
        <f t="shared" si="9"/>
        <v>0</v>
      </c>
      <c r="D18" s="409">
        <v>31</v>
      </c>
      <c r="E18" s="410">
        <f t="shared" si="8"/>
        <v>154</v>
      </c>
      <c r="F18" s="410">
        <f t="shared" si="10"/>
        <v>365</v>
      </c>
      <c r="G18" s="43">
        <f>154/365</f>
        <v>0.42191780821917807</v>
      </c>
      <c r="H18" s="564">
        <f t="shared" si="0"/>
        <v>-230689.89893099183</v>
      </c>
      <c r="I18" s="565">
        <v>-534348</v>
      </c>
      <c r="J18" s="566">
        <f t="shared" si="1"/>
        <v>-225450.93698630136</v>
      </c>
      <c r="K18" s="35">
        <v>0</v>
      </c>
      <c r="L18" s="461">
        <f>+'Appendix A'!$H$27</f>
        <v>0.26818076319772116</v>
      </c>
      <c r="M18" s="629">
        <f t="shared" si="2"/>
        <v>0</v>
      </c>
      <c r="N18" s="566">
        <f t="shared" si="3"/>
        <v>0</v>
      </c>
      <c r="O18" s="565">
        <v>-99267</v>
      </c>
      <c r="P18" s="461">
        <f>+'Appendix A'!$H$16</f>
        <v>0.12508709030780155</v>
      </c>
      <c r="Q18" s="629">
        <f t="shared" si="4"/>
        <v>-12417.020193584536</v>
      </c>
      <c r="R18" s="566">
        <f t="shared" si="5"/>
        <v>-5238.9619446904617</v>
      </c>
      <c r="S18" s="5">
        <f t="shared" si="6"/>
        <v>-230689.89893099183</v>
      </c>
    </row>
    <row r="19" spans="1:19" ht="15">
      <c r="A19" s="59">
        <f t="shared" si="7"/>
        <v>9</v>
      </c>
      <c r="B19" s="390" t="s">
        <v>377</v>
      </c>
      <c r="C19" s="453">
        <f t="shared" si="9"/>
        <v>0</v>
      </c>
      <c r="D19" s="409">
        <v>31</v>
      </c>
      <c r="E19" s="410">
        <f t="shared" si="8"/>
        <v>123</v>
      </c>
      <c r="F19" s="410">
        <f t="shared" si="10"/>
        <v>365</v>
      </c>
      <c r="G19" s="43">
        <f>123/365</f>
        <v>0.33698630136986302</v>
      </c>
      <c r="H19" s="564">
        <f t="shared" si="0"/>
        <v>-184252.32187345452</v>
      </c>
      <c r="I19" s="565">
        <v>-534348</v>
      </c>
      <c r="J19" s="566">
        <f t="shared" si="1"/>
        <v>-180067.95616438356</v>
      </c>
      <c r="K19" s="35">
        <v>0</v>
      </c>
      <c r="L19" s="461">
        <f>+'Appendix A'!$H$27</f>
        <v>0.26818076319772116</v>
      </c>
      <c r="M19" s="629">
        <f t="shared" si="2"/>
        <v>0</v>
      </c>
      <c r="N19" s="566">
        <f t="shared" si="3"/>
        <v>0</v>
      </c>
      <c r="O19" s="565">
        <v>-99267</v>
      </c>
      <c r="P19" s="461">
        <f>+'Appendix A'!$H$16</f>
        <v>0.12508709030780155</v>
      </c>
      <c r="Q19" s="629">
        <f t="shared" si="4"/>
        <v>-12417.020193584536</v>
      </c>
      <c r="R19" s="566">
        <f t="shared" si="5"/>
        <v>-4184.365709070953</v>
      </c>
      <c r="S19" s="5">
        <f t="shared" si="6"/>
        <v>-184252.32187345452</v>
      </c>
    </row>
    <row r="20" spans="1:19" ht="15">
      <c r="A20" s="59">
        <f t="shared" si="7"/>
        <v>10</v>
      </c>
      <c r="B20" s="390" t="s">
        <v>378</v>
      </c>
      <c r="C20" s="453">
        <f t="shared" si="9"/>
        <v>0</v>
      </c>
      <c r="D20" s="409">
        <v>30</v>
      </c>
      <c r="E20" s="410">
        <f t="shared" si="8"/>
        <v>93</v>
      </c>
      <c r="F20" s="410">
        <f t="shared" si="10"/>
        <v>365</v>
      </c>
      <c r="G20" s="43">
        <f>93/365</f>
        <v>0.25479452054794521</v>
      </c>
      <c r="H20" s="564">
        <f t="shared" si="0"/>
        <v>-139312.73117261197</v>
      </c>
      <c r="I20" s="565">
        <v>-534348</v>
      </c>
      <c r="J20" s="566">
        <f t="shared" si="1"/>
        <v>-136148.94246575344</v>
      </c>
      <c r="K20" s="35">
        <v>0</v>
      </c>
      <c r="L20" s="461">
        <f>+'Appendix A'!$H$27</f>
        <v>0.26818076319772116</v>
      </c>
      <c r="M20" s="629">
        <f t="shared" si="2"/>
        <v>0</v>
      </c>
      <c r="N20" s="566">
        <f t="shared" si="3"/>
        <v>0</v>
      </c>
      <c r="O20" s="565">
        <v>-99267</v>
      </c>
      <c r="P20" s="461">
        <f>+'Appendix A'!$H$16</f>
        <v>0.12508709030780155</v>
      </c>
      <c r="Q20" s="629">
        <f t="shared" si="4"/>
        <v>-12417.020193584536</v>
      </c>
      <c r="R20" s="566">
        <f t="shared" si="5"/>
        <v>-3163.7887068585255</v>
      </c>
      <c r="S20" s="5">
        <f t="shared" si="6"/>
        <v>-139312.73117261197</v>
      </c>
    </row>
    <row r="21" spans="1:19" ht="15">
      <c r="A21" s="59">
        <f t="shared" si="7"/>
        <v>11</v>
      </c>
      <c r="B21" s="390" t="s">
        <v>379</v>
      </c>
      <c r="C21" s="453">
        <f t="shared" si="9"/>
        <v>0</v>
      </c>
      <c r="D21" s="409">
        <v>31</v>
      </c>
      <c r="E21" s="410">
        <f>E22+D22</f>
        <v>62</v>
      </c>
      <c r="F21" s="410">
        <f t="shared" si="10"/>
        <v>365</v>
      </c>
      <c r="G21" s="43">
        <f>62/365</f>
        <v>0.16986301369863013</v>
      </c>
      <c r="H21" s="564">
        <f t="shared" si="0"/>
        <v>-92875.154115074634</v>
      </c>
      <c r="I21" s="565">
        <v>-534348</v>
      </c>
      <c r="J21" s="566">
        <f t="shared" si="1"/>
        <v>-90765.961643835617</v>
      </c>
      <c r="K21" s="35">
        <v>0</v>
      </c>
      <c r="L21" s="461">
        <f>+'Appendix A'!$H$27</f>
        <v>0.26818076319772116</v>
      </c>
      <c r="M21" s="629">
        <f t="shared" si="2"/>
        <v>0</v>
      </c>
      <c r="N21" s="566">
        <f t="shared" si="3"/>
        <v>0</v>
      </c>
      <c r="O21" s="565">
        <v>-99267</v>
      </c>
      <c r="P21" s="461">
        <f>+'Appendix A'!$H$16</f>
        <v>0.12508709030780155</v>
      </c>
      <c r="Q21" s="629">
        <f t="shared" si="4"/>
        <v>-12417.020193584536</v>
      </c>
      <c r="R21" s="566">
        <f t="shared" si="5"/>
        <v>-2109.1924712390169</v>
      </c>
      <c r="S21" s="5">
        <f t="shared" si="6"/>
        <v>-92875.154115074634</v>
      </c>
    </row>
    <row r="22" spans="1:19" ht="15">
      <c r="A22" s="59">
        <f t="shared" si="7"/>
        <v>12</v>
      </c>
      <c r="B22" s="390" t="s">
        <v>380</v>
      </c>
      <c r="C22" s="453">
        <f t="shared" si="9"/>
        <v>0</v>
      </c>
      <c r="D22" s="409">
        <v>30</v>
      </c>
      <c r="E22" s="410">
        <f>E23+D23</f>
        <v>32</v>
      </c>
      <c r="F22" s="410">
        <f t="shared" si="10"/>
        <v>365</v>
      </c>
      <c r="G22" s="43">
        <f>32/365</f>
        <v>8.7671232876712329E-2</v>
      </c>
      <c r="H22" s="564">
        <f t="shared" si="0"/>
        <v>-47935.56341423207</v>
      </c>
      <c r="I22" s="565">
        <v>-534348</v>
      </c>
      <c r="J22" s="566">
        <f t="shared" si="1"/>
        <v>-46846.94794520548</v>
      </c>
      <c r="K22" s="35">
        <v>0</v>
      </c>
      <c r="L22" s="461">
        <f>+'Appendix A'!$H$27</f>
        <v>0.26818076319772116</v>
      </c>
      <c r="M22" s="629">
        <f t="shared" si="2"/>
        <v>0</v>
      </c>
      <c r="N22" s="566">
        <f t="shared" si="3"/>
        <v>0</v>
      </c>
      <c r="O22" s="565">
        <v>-99267</v>
      </c>
      <c r="P22" s="461">
        <f>+'Appendix A'!$H$16</f>
        <v>0.12508709030780155</v>
      </c>
      <c r="Q22" s="629">
        <f t="shared" si="4"/>
        <v>-12417.020193584536</v>
      </c>
      <c r="R22" s="566">
        <f t="shared" si="5"/>
        <v>-1088.6154690265894</v>
      </c>
      <c r="S22" s="5">
        <f t="shared" si="6"/>
        <v>-47935.56341423207</v>
      </c>
    </row>
    <row r="23" spans="1:19" ht="17.25">
      <c r="A23" s="59">
        <f t="shared" si="7"/>
        <v>13</v>
      </c>
      <c r="B23" s="390" t="s">
        <v>381</v>
      </c>
      <c r="C23" s="453">
        <f t="shared" si="9"/>
        <v>0</v>
      </c>
      <c r="D23" s="409">
        <v>31</v>
      </c>
      <c r="E23" s="410">
        <v>1</v>
      </c>
      <c r="F23" s="410">
        <f t="shared" si="10"/>
        <v>365</v>
      </c>
      <c r="G23" s="43">
        <f>1/365</f>
        <v>2.7397260273972603E-3</v>
      </c>
      <c r="H23" s="692">
        <f t="shared" si="0"/>
        <v>-1497.9863566947522</v>
      </c>
      <c r="I23" s="565">
        <v>-534348</v>
      </c>
      <c r="J23" s="693">
        <f t="shared" si="1"/>
        <v>-1463.9671232876713</v>
      </c>
      <c r="K23" s="780">
        <v>0</v>
      </c>
      <c r="L23" s="461">
        <f>+'Appendix A'!$H$27</f>
        <v>0.26818076319772116</v>
      </c>
      <c r="M23" s="629">
        <f t="shared" si="2"/>
        <v>0</v>
      </c>
      <c r="N23" s="693">
        <f t="shared" si="3"/>
        <v>0</v>
      </c>
      <c r="O23" s="565">
        <v>-99267</v>
      </c>
      <c r="P23" s="461">
        <f>+'Appendix A'!$H$16</f>
        <v>0.12508709030780155</v>
      </c>
      <c r="Q23" s="629">
        <f t="shared" si="4"/>
        <v>-12417.020193584536</v>
      </c>
      <c r="R23" s="693">
        <f t="shared" si="5"/>
        <v>-34.019233407080918</v>
      </c>
      <c r="S23" s="859">
        <f t="shared" si="6"/>
        <v>-1497.9863566947522</v>
      </c>
    </row>
    <row r="24" spans="1:19" ht="15">
      <c r="A24" s="59">
        <f t="shared" si="7"/>
        <v>14</v>
      </c>
      <c r="B24" s="401" t="s">
        <v>382</v>
      </c>
      <c r="C24" s="390"/>
      <c r="D24" s="392">
        <f>+SUM(D12:D23)</f>
        <v>365</v>
      </c>
      <c r="E24" s="390"/>
      <c r="F24" s="390"/>
      <c r="G24" s="390"/>
      <c r="H24" s="564">
        <f t="shared" si="0"/>
        <v>-39123055.800167821</v>
      </c>
      <c r="I24" s="566">
        <f>SUM(I11:I23)</f>
        <v>-41305875</v>
      </c>
      <c r="J24" s="566">
        <f t="shared" ref="J24:O24" si="11">SUM(J11:J23)</f>
        <v>-37864088.293150686</v>
      </c>
      <c r="K24" s="566">
        <f t="shared" si="11"/>
        <v>0</v>
      </c>
      <c r="L24" s="566"/>
      <c r="M24" s="566"/>
      <c r="N24" s="566">
        <f t="shared" ref="N24" si="12">SUM(N11:N23)</f>
        <v>0</v>
      </c>
      <c r="O24" s="566">
        <f t="shared" si="11"/>
        <v>-10704116</v>
      </c>
      <c r="P24" s="566"/>
      <c r="Q24" s="566"/>
      <c r="R24" s="566">
        <f t="shared" ref="R24" si="13">SUM(R11:R23)</f>
        <v>-1258967.5070171361</v>
      </c>
      <c r="S24" s="5">
        <f t="shared" si="6"/>
        <v>-39123055.800167821</v>
      </c>
    </row>
    <row r="25" spans="1:19" ht="15">
      <c r="A25" s="59"/>
      <c r="B25" s="401"/>
      <c r="C25" s="390"/>
      <c r="D25" s="392"/>
      <c r="E25" s="390"/>
      <c r="F25" s="390"/>
      <c r="G25" s="390"/>
      <c r="H25" s="392"/>
      <c r="I25" s="392"/>
      <c r="J25" s="392"/>
      <c r="K25" s="392"/>
      <c r="L25" s="392"/>
      <c r="M25" s="392"/>
      <c r="N25" s="392"/>
      <c r="O25" s="392"/>
      <c r="P25" s="392"/>
      <c r="Q25" s="392"/>
      <c r="R25" s="392"/>
    </row>
    <row r="26" spans="1:19" ht="15">
      <c r="A26" s="59"/>
      <c r="B26" s="401"/>
      <c r="C26" s="390"/>
      <c r="D26" s="392"/>
      <c r="E26" s="390"/>
      <c r="F26" s="390"/>
      <c r="G26" s="390"/>
      <c r="H26" s="392"/>
      <c r="I26" s="392"/>
      <c r="J26" s="392"/>
      <c r="K26" s="392"/>
      <c r="L26" s="392"/>
      <c r="M26" s="392"/>
      <c r="N26" s="392"/>
      <c r="O26" s="392"/>
      <c r="P26" s="392"/>
      <c r="Q26" s="392"/>
      <c r="R26" s="392"/>
    </row>
    <row r="27" spans="1:19" ht="15">
      <c r="A27" s="45"/>
      <c r="B27" s="45" t="s">
        <v>383</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61"/>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1" zoomScale="70" zoomScaleNormal="70" workbookViewId="0">
      <selection activeCell="E36" sqref="E36"/>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93" t="str">
        <f>+'Appendix A'!A3</f>
        <v>Dayton Power and Light</v>
      </c>
      <c r="C1" s="894"/>
      <c r="D1" s="894"/>
      <c r="E1" s="894"/>
      <c r="F1" s="894"/>
      <c r="G1" s="894"/>
      <c r="H1" s="894"/>
      <c r="I1" s="894"/>
      <c r="J1" s="151"/>
    </row>
    <row r="2" spans="1:10" ht="18">
      <c r="B2" s="893" t="str">
        <f>+'1A - ADIT'!B2:I2</f>
        <v xml:space="preserve">ATTACHMENT H-15A </v>
      </c>
      <c r="C2" s="893"/>
      <c r="D2" s="893"/>
      <c r="E2" s="893"/>
      <c r="F2" s="893"/>
      <c r="G2" s="893"/>
      <c r="H2" s="893"/>
      <c r="I2" s="893"/>
      <c r="J2" s="151"/>
    </row>
    <row r="3" spans="1:10" s="151" customFormat="1" ht="18">
      <c r="B3" s="893" t="s">
        <v>384</v>
      </c>
      <c r="C3" s="893"/>
      <c r="D3" s="893"/>
      <c r="E3" s="893"/>
      <c r="F3" s="893"/>
      <c r="G3" s="893"/>
      <c r="H3" s="893"/>
      <c r="I3" s="893"/>
    </row>
    <row r="4" spans="1:10">
      <c r="B4" s="153"/>
    </row>
    <row r="5" spans="1:10" ht="18">
      <c r="B5" s="18"/>
      <c r="C5" s="1"/>
      <c r="D5" s="153" t="s">
        <v>254</v>
      </c>
      <c r="E5" s="153"/>
      <c r="G5" s="153"/>
      <c r="H5" s="153"/>
    </row>
    <row r="6" spans="1:10" ht="18">
      <c r="D6" s="153" t="s">
        <v>56</v>
      </c>
      <c r="E6" s="153" t="s">
        <v>255</v>
      </c>
      <c r="F6" s="153" t="s">
        <v>256</v>
      </c>
      <c r="G6" s="153"/>
      <c r="H6" s="153" t="s">
        <v>67</v>
      </c>
      <c r="I6" s="627"/>
    </row>
    <row r="7" spans="1:10" ht="18">
      <c r="D7" s="153" t="s">
        <v>257</v>
      </c>
      <c r="E7" s="153" t="s">
        <v>257</v>
      </c>
      <c r="F7" s="153" t="s">
        <v>257</v>
      </c>
      <c r="G7" s="153"/>
      <c r="H7" s="153" t="s">
        <v>258</v>
      </c>
      <c r="I7" s="628"/>
    </row>
    <row r="8" spans="1:10" ht="25.5">
      <c r="B8" s="346"/>
      <c r="C8" s="343"/>
      <c r="D8" s="343"/>
      <c r="E8" s="343"/>
      <c r="F8" s="343"/>
      <c r="H8" s="343"/>
      <c r="I8" s="628"/>
      <c r="J8" s="343"/>
    </row>
    <row r="9" spans="1:10">
      <c r="A9" s="59">
        <v>1</v>
      </c>
      <c r="C9" s="155" t="s">
        <v>270</v>
      </c>
      <c r="D9" s="156">
        <f>+E40</f>
        <v>0</v>
      </c>
      <c r="E9" s="156">
        <f>+F40</f>
        <v>431994</v>
      </c>
      <c r="F9" s="156">
        <f>+G40</f>
        <v>2232305</v>
      </c>
      <c r="G9" s="156"/>
      <c r="H9" s="156"/>
      <c r="I9" s="91" t="str">
        <f>"(Line "&amp;A40&amp;")"</f>
        <v>(Line 22)</v>
      </c>
    </row>
    <row r="10" spans="1:10">
      <c r="A10" s="59">
        <f>+A9+1</f>
        <v>2</v>
      </c>
      <c r="C10" s="155" t="s">
        <v>307</v>
      </c>
      <c r="D10" s="156">
        <f>+E61</f>
        <v>-3795911</v>
      </c>
      <c r="E10" s="156">
        <f>+F61</f>
        <v>0</v>
      </c>
      <c r="F10" s="156">
        <f>+G61</f>
        <v>-2920796</v>
      </c>
      <c r="G10" s="156"/>
      <c r="H10" s="156"/>
      <c r="I10" s="91" t="str">
        <f>"(Line "&amp;A61&amp;")"</f>
        <v>(Line 25)</v>
      </c>
    </row>
    <row r="11" spans="1:10">
      <c r="A11" s="59">
        <f>+A10+1</f>
        <v>3</v>
      </c>
      <c r="C11" s="463" t="s">
        <v>315</v>
      </c>
      <c r="D11" s="452">
        <f>+E87</f>
        <v>0</v>
      </c>
      <c r="E11" s="452">
        <f>+F87</f>
        <v>0</v>
      </c>
      <c r="F11" s="452">
        <f>+G87</f>
        <v>-5469776</v>
      </c>
      <c r="G11" s="452"/>
      <c r="H11" s="156"/>
      <c r="I11" s="91" t="str">
        <f>"(Line "&amp;A87&amp;")"</f>
        <v>(Line 36)</v>
      </c>
    </row>
    <row r="12" spans="1:10">
      <c r="A12" s="59">
        <f>+A11+1</f>
        <v>4</v>
      </c>
      <c r="C12" s="155" t="s">
        <v>90</v>
      </c>
      <c r="D12" s="156">
        <f>+SUM(D9:D11)</f>
        <v>-3795911</v>
      </c>
      <c r="E12" s="156">
        <f t="shared" ref="E12:F12" si="0">+SUM(E9:E11)</f>
        <v>431994</v>
      </c>
      <c r="F12" s="156">
        <f t="shared" si="0"/>
        <v>-6158267</v>
      </c>
      <c r="G12" s="156"/>
      <c r="H12" s="156"/>
      <c r="I12" s="91" t="str">
        <f>"(Line "&amp;A9&amp;" + Line "&amp;A10&amp;" + "&amp;A11&amp;")"</f>
        <v>(Line 1 + Line 2 + 3)</v>
      </c>
    </row>
    <row r="13" spans="1:10">
      <c r="A13" s="59">
        <f t="shared" ref="A13:A14" si="1">+A12+1</f>
        <v>5</v>
      </c>
      <c r="C13" s="155" t="s">
        <v>12</v>
      </c>
      <c r="F13" s="461">
        <f>'Appendix A'!H16</f>
        <v>0.12508709030780155</v>
      </c>
      <c r="I13" s="19" t="str">
        <f>"(Appendix A, Line "&amp;'Appendix A'!A16&amp;")"</f>
        <v>(Appendix A, Line 5)</v>
      </c>
    </row>
    <row r="14" spans="1:10">
      <c r="A14" s="59">
        <f t="shared" si="1"/>
        <v>6</v>
      </c>
      <c r="C14" s="155" t="s">
        <v>20</v>
      </c>
      <c r="E14" s="461">
        <f>'Appendix A'!H27</f>
        <v>0.26818076319772116</v>
      </c>
      <c r="I14" s="19" t="str">
        <f>"(Appendix A, Line "&amp;'Appendix A'!A27&amp;")"</f>
        <v>(Appendix A, Line 12)</v>
      </c>
    </row>
    <row r="15" spans="1:10" ht="15.75">
      <c r="A15" s="59">
        <f>+A14+1</f>
        <v>7</v>
      </c>
      <c r="C15" s="155" t="s">
        <v>262</v>
      </c>
      <c r="D15" s="156">
        <f>+D12</f>
        <v>-3795911</v>
      </c>
      <c r="E15" s="156">
        <f>+E14*E12</f>
        <v>115852.48061683636</v>
      </c>
      <c r="F15" s="156">
        <f>+F13*F12</f>
        <v>-770319.7003685541</v>
      </c>
      <c r="G15" s="156"/>
      <c r="H15" s="157">
        <f>SUM(D15:G15)</f>
        <v>-4450378.2197517175</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385</v>
      </c>
      <c r="C17" s="155"/>
      <c r="D17" s="156"/>
      <c r="E17" s="156"/>
      <c r="F17" s="156"/>
      <c r="G17" s="157"/>
      <c r="H17" s="157"/>
      <c r="I17" s="91"/>
      <c r="J17" s="342"/>
    </row>
    <row r="18" spans="1:28">
      <c r="A18" s="59"/>
      <c r="B18" s="45"/>
      <c r="I18" s="91"/>
    </row>
    <row r="19" spans="1:28">
      <c r="A19" s="59"/>
      <c r="B19" s="154" t="s">
        <v>268</v>
      </c>
      <c r="I19" s="91"/>
    </row>
    <row r="20" spans="1:28">
      <c r="A20" s="59"/>
      <c r="B20" s="154" t="s">
        <v>269</v>
      </c>
    </row>
    <row r="21" spans="1:28">
      <c r="A21" s="59"/>
      <c r="G21" s="155"/>
      <c r="H21" s="155"/>
    </row>
    <row r="22" spans="1:28" ht="15.75">
      <c r="A22" s="59"/>
      <c r="B22" s="159" t="s">
        <v>207</v>
      </c>
      <c r="C22" s="159" t="s">
        <v>209</v>
      </c>
      <c r="D22" s="159" t="s">
        <v>211</v>
      </c>
      <c r="E22" s="159" t="s">
        <v>213</v>
      </c>
      <c r="F22" s="159" t="s">
        <v>215</v>
      </c>
      <c r="G22" s="159" t="s">
        <v>217</v>
      </c>
      <c r="H22" s="159"/>
      <c r="I22" s="159" t="s">
        <v>219</v>
      </c>
    </row>
    <row r="23" spans="1:28" ht="25.15" customHeight="1">
      <c r="A23" s="59"/>
      <c r="C23" s="153" t="s">
        <v>67</v>
      </c>
      <c r="D23" s="153"/>
      <c r="E23" s="153" t="s">
        <v>254</v>
      </c>
      <c r="F23" s="153"/>
      <c r="G23" s="153"/>
      <c r="H23" s="153"/>
    </row>
    <row r="24" spans="1:28" ht="41.25" customHeight="1">
      <c r="A24" s="59"/>
      <c r="B24" s="160" t="s">
        <v>270</v>
      </c>
      <c r="C24" s="153"/>
      <c r="D24" s="153"/>
      <c r="E24" s="153" t="s">
        <v>56</v>
      </c>
      <c r="F24" s="153" t="s">
        <v>255</v>
      </c>
      <c r="G24" s="153" t="s">
        <v>256</v>
      </c>
      <c r="H24" s="153"/>
      <c r="X24" s="315"/>
      <c r="Y24" s="315"/>
      <c r="Z24" s="315"/>
      <c r="AA24" s="315"/>
      <c r="AB24" s="315"/>
    </row>
    <row r="25" spans="1:28" ht="25.15" customHeight="1" thickBot="1">
      <c r="A25" s="59"/>
      <c r="C25" s="153"/>
      <c r="D25" s="153" t="s">
        <v>271</v>
      </c>
      <c r="E25" s="153" t="s">
        <v>257</v>
      </c>
      <c r="F25" s="153" t="s">
        <v>257</v>
      </c>
      <c r="G25" s="153" t="s">
        <v>257</v>
      </c>
      <c r="H25" s="446"/>
      <c r="I25" s="153" t="s">
        <v>272</v>
      </c>
    </row>
    <row r="26" spans="1:28" ht="42.75" customHeight="1" thickBot="1">
      <c r="A26" s="59">
        <f>+A15+1</f>
        <v>8</v>
      </c>
      <c r="B26" s="332" t="s">
        <v>273</v>
      </c>
      <c r="C26" s="820">
        <f t="shared" ref="C26:C36" si="2">+SUM(D26:G26)</f>
        <v>489677</v>
      </c>
      <c r="D26" s="549">
        <v>0</v>
      </c>
      <c r="E26" s="549">
        <v>0</v>
      </c>
      <c r="F26" s="549">
        <v>0</v>
      </c>
      <c r="G26" s="549">
        <f>764210-274533</f>
        <v>489677</v>
      </c>
      <c r="H26" s="686"/>
      <c r="I26" s="407" t="s">
        <v>274</v>
      </c>
    </row>
    <row r="27" spans="1:28" ht="38.25" customHeight="1" thickBot="1">
      <c r="A27" s="59">
        <f>+A26+1</f>
        <v>9</v>
      </c>
      <c r="B27" s="333" t="s">
        <v>275</v>
      </c>
      <c r="C27" s="820">
        <f t="shared" si="2"/>
        <v>2707542</v>
      </c>
      <c r="D27" s="551">
        <v>2707542</v>
      </c>
      <c r="E27" s="551">
        <v>0</v>
      </c>
      <c r="F27" s="551">
        <v>0</v>
      </c>
      <c r="G27" s="549">
        <v>0</v>
      </c>
      <c r="H27" s="687"/>
      <c r="I27" s="407" t="s">
        <v>276</v>
      </c>
    </row>
    <row r="28" spans="1:28" ht="35.25" customHeight="1">
      <c r="A28" s="59">
        <f t="shared" ref="A28:A39" si="3">+A27+1</f>
        <v>10</v>
      </c>
      <c r="B28" s="333" t="s">
        <v>277</v>
      </c>
      <c r="C28" s="820">
        <f t="shared" si="2"/>
        <v>1006570</v>
      </c>
      <c r="D28" s="551">
        <v>0</v>
      </c>
      <c r="E28" s="551">
        <v>0</v>
      </c>
      <c r="F28" s="551">
        <v>0</v>
      </c>
      <c r="G28" s="549">
        <v>1006570</v>
      </c>
      <c r="H28" s="687"/>
      <c r="I28" s="407" t="s">
        <v>274</v>
      </c>
    </row>
    <row r="29" spans="1:28" ht="25.15" customHeight="1">
      <c r="A29" s="59">
        <f t="shared" si="3"/>
        <v>11</v>
      </c>
      <c r="B29" s="503" t="s">
        <v>278</v>
      </c>
      <c r="C29" s="820">
        <f t="shared" si="2"/>
        <v>-1010449</v>
      </c>
      <c r="D29" s="551">
        <v>0</v>
      </c>
      <c r="E29" s="551">
        <v>0</v>
      </c>
      <c r="F29" s="551">
        <v>-1010449</v>
      </c>
      <c r="G29" s="551">
        <v>0</v>
      </c>
      <c r="H29" s="687"/>
      <c r="I29" s="405" t="s">
        <v>279</v>
      </c>
    </row>
    <row r="30" spans="1:28" ht="25.15" customHeight="1">
      <c r="A30" s="59">
        <f t="shared" si="3"/>
        <v>12</v>
      </c>
      <c r="B30" s="333" t="s">
        <v>280</v>
      </c>
      <c r="C30" s="820">
        <f t="shared" si="2"/>
        <v>683160</v>
      </c>
      <c r="D30" s="551">
        <v>0</v>
      </c>
      <c r="E30" s="551">
        <v>0</v>
      </c>
      <c r="F30" s="551">
        <v>0</v>
      </c>
      <c r="G30" s="551">
        <v>683160</v>
      </c>
      <c r="H30" s="687"/>
      <c r="I30" s="407" t="s">
        <v>281</v>
      </c>
    </row>
    <row r="31" spans="1:28" ht="25.15" customHeight="1">
      <c r="A31" s="59">
        <f t="shared" si="3"/>
        <v>13</v>
      </c>
      <c r="B31" s="333" t="s">
        <v>282</v>
      </c>
      <c r="C31" s="820">
        <f t="shared" si="2"/>
        <v>937976</v>
      </c>
      <c r="D31" s="551">
        <v>937976</v>
      </c>
      <c r="E31" s="551">
        <v>0</v>
      </c>
      <c r="F31" s="551">
        <v>0</v>
      </c>
      <c r="G31" s="551">
        <v>0</v>
      </c>
      <c r="H31" s="687"/>
      <c r="I31" s="407" t="s">
        <v>386</v>
      </c>
    </row>
    <row r="32" spans="1:28" ht="25.15" customHeight="1">
      <c r="A32" s="59">
        <f t="shared" si="3"/>
        <v>14</v>
      </c>
      <c r="B32" s="333" t="s">
        <v>284</v>
      </c>
      <c r="C32" s="820">
        <f t="shared" si="2"/>
        <v>52898</v>
      </c>
      <c r="D32" s="551">
        <v>0</v>
      </c>
      <c r="E32" s="551">
        <v>0</v>
      </c>
      <c r="F32" s="551">
        <v>0</v>
      </c>
      <c r="G32" s="551">
        <v>52898</v>
      </c>
      <c r="H32" s="687"/>
      <c r="I32" s="407" t="s">
        <v>285</v>
      </c>
    </row>
    <row r="33" spans="1:10" ht="35.1" customHeight="1">
      <c r="A33" s="59">
        <f t="shared" si="3"/>
        <v>15</v>
      </c>
      <c r="B33" s="333" t="s">
        <v>286</v>
      </c>
      <c r="C33" s="820">
        <f t="shared" si="2"/>
        <v>425012</v>
      </c>
      <c r="D33" s="551">
        <v>425012</v>
      </c>
      <c r="E33" s="551">
        <v>0</v>
      </c>
      <c r="F33" s="551">
        <v>0</v>
      </c>
      <c r="G33" s="551">
        <v>0</v>
      </c>
      <c r="H33" s="687"/>
      <c r="I33" s="407" t="s">
        <v>287</v>
      </c>
    </row>
    <row r="34" spans="1:10" ht="35.1" customHeight="1">
      <c r="A34" s="59">
        <f t="shared" si="3"/>
        <v>16</v>
      </c>
      <c r="B34" s="333" t="s">
        <v>288</v>
      </c>
      <c r="C34" s="820">
        <f t="shared" si="2"/>
        <v>431994</v>
      </c>
      <c r="D34" s="551">
        <v>0</v>
      </c>
      <c r="E34" s="551">
        <v>0</v>
      </c>
      <c r="F34" s="551">
        <v>431994</v>
      </c>
      <c r="G34" s="551">
        <v>0</v>
      </c>
      <c r="H34" s="687"/>
      <c r="I34" s="407" t="s">
        <v>387</v>
      </c>
    </row>
    <row r="35" spans="1:10" ht="35.1" customHeight="1">
      <c r="A35" s="59">
        <f t="shared" si="3"/>
        <v>17</v>
      </c>
      <c r="B35" s="333" t="s">
        <v>290</v>
      </c>
      <c r="C35" s="821">
        <f t="shared" si="2"/>
        <v>1288335</v>
      </c>
      <c r="D35" s="551">
        <v>1288335</v>
      </c>
      <c r="E35" s="551">
        <v>0</v>
      </c>
      <c r="F35" s="551">
        <v>0</v>
      </c>
      <c r="G35" s="551">
        <v>0</v>
      </c>
      <c r="H35" s="687"/>
      <c r="I35" s="407" t="s">
        <v>388</v>
      </c>
    </row>
    <row r="36" spans="1:10" ht="35.1" customHeight="1">
      <c r="A36" s="59">
        <f t="shared" si="3"/>
        <v>18</v>
      </c>
      <c r="B36" s="333" t="s">
        <v>292</v>
      </c>
      <c r="C36" s="819">
        <f t="shared" si="2"/>
        <v>-223999</v>
      </c>
      <c r="D36" s="551">
        <v>-223999</v>
      </c>
      <c r="E36" s="551">
        <v>0</v>
      </c>
      <c r="F36" s="551">
        <v>0</v>
      </c>
      <c r="G36" s="551">
        <v>0</v>
      </c>
      <c r="H36" s="687"/>
      <c r="I36" s="407" t="s">
        <v>389</v>
      </c>
    </row>
    <row r="37" spans="1:10" ht="35.1" customHeight="1">
      <c r="A37" s="59">
        <f>+A36+1</f>
        <v>19</v>
      </c>
      <c r="B37" s="333" t="s">
        <v>294</v>
      </c>
      <c r="C37" s="552">
        <f>+C38-SUM(C26:C36)</f>
        <v>3053891</v>
      </c>
      <c r="D37" s="551">
        <f>+C37</f>
        <v>3053891</v>
      </c>
      <c r="E37" s="551">
        <v>0</v>
      </c>
      <c r="F37" s="551">
        <v>0</v>
      </c>
      <c r="G37" s="551">
        <v>0</v>
      </c>
      <c r="H37" s="687"/>
      <c r="I37" s="407" t="s">
        <v>390</v>
      </c>
    </row>
    <row r="38" spans="1:10" ht="35.1" customHeight="1">
      <c r="A38" s="59">
        <f t="shared" si="3"/>
        <v>20</v>
      </c>
      <c r="B38" s="334" t="s">
        <v>296</v>
      </c>
      <c r="C38" s="553">
        <v>9842607</v>
      </c>
      <c r="D38" s="553">
        <f t="shared" ref="D38:F38" si="4">SUM(D26:D37)</f>
        <v>8188757</v>
      </c>
      <c r="E38" s="553">
        <f t="shared" si="4"/>
        <v>0</v>
      </c>
      <c r="F38" s="553">
        <f t="shared" si="4"/>
        <v>-578455</v>
      </c>
      <c r="G38" s="553">
        <f>SUM(G26:G37)</f>
        <v>2232305</v>
      </c>
      <c r="H38" s="553"/>
      <c r="I38" s="161"/>
    </row>
    <row r="39" spans="1:10" ht="35.1" customHeight="1">
      <c r="A39" s="59">
        <f t="shared" si="3"/>
        <v>21</v>
      </c>
      <c r="B39" s="331" t="s">
        <v>297</v>
      </c>
      <c r="C39" s="554">
        <f>SUM(D39:G39)</f>
        <v>-1010449</v>
      </c>
      <c r="D39" s="554">
        <f>D29</f>
        <v>0</v>
      </c>
      <c r="E39" s="555">
        <f>E29</f>
        <v>0</v>
      </c>
      <c r="F39" s="556">
        <f>F29</f>
        <v>-1010449</v>
      </c>
      <c r="G39" s="556">
        <f>G29</f>
        <v>0</v>
      </c>
      <c r="H39" s="556"/>
      <c r="I39" s="167" t="str">
        <f>+'1A - ADIT'!I44</f>
        <v>All FAS 109 items excluded from formula rate</v>
      </c>
    </row>
    <row r="40" spans="1:10" ht="38.25" customHeight="1" thickBot="1">
      <c r="A40" s="59">
        <f>+A39+1</f>
        <v>22</v>
      </c>
      <c r="B40" s="330" t="s">
        <v>67</v>
      </c>
      <c r="C40" s="557">
        <f>+C38-C39</f>
        <v>10853056</v>
      </c>
      <c r="D40" s="557">
        <f t="shared" ref="D40:G40" si="5">+D38-D39</f>
        <v>8188757</v>
      </c>
      <c r="E40" s="557">
        <f t="shared" si="5"/>
        <v>0</v>
      </c>
      <c r="F40" s="557">
        <f t="shared" si="5"/>
        <v>431994</v>
      </c>
      <c r="G40" s="557">
        <f t="shared" si="5"/>
        <v>2232305</v>
      </c>
      <c r="H40" s="557"/>
      <c r="I40" s="329"/>
    </row>
    <row r="41" spans="1:10" ht="30" customHeight="1">
      <c r="A41" s="59"/>
      <c r="B41" s="58"/>
      <c r="C41" s="402"/>
      <c r="D41" s="403"/>
      <c r="E41" s="403"/>
      <c r="F41" s="403"/>
      <c r="G41" s="403"/>
      <c r="H41" s="403"/>
      <c r="I41" s="399"/>
    </row>
    <row r="42" spans="1:10" ht="15.75" customHeight="1">
      <c r="A42" s="59"/>
      <c r="B42" s="45" t="s">
        <v>299</v>
      </c>
      <c r="D42" s="156"/>
      <c r="E42" s="467"/>
      <c r="F42" s="59"/>
      <c r="I42" s="468"/>
    </row>
    <row r="43" spans="1:10" s="151" customFormat="1" ht="18">
      <c r="A43" s="365"/>
      <c r="B43" s="890" t="s">
        <v>391</v>
      </c>
      <c r="C43" s="890"/>
      <c r="D43" s="890"/>
      <c r="E43" s="890"/>
      <c r="F43" s="890"/>
      <c r="G43" s="890"/>
      <c r="H43" s="890"/>
      <c r="I43" s="890"/>
      <c r="J43" s="45"/>
    </row>
    <row r="44" spans="1:10" s="151" customFormat="1" ht="18">
      <c r="A44" s="365"/>
      <c r="B44" s="154" t="s">
        <v>301</v>
      </c>
      <c r="C44" s="45"/>
      <c r="D44" s="45"/>
      <c r="E44" s="45"/>
      <c r="F44" s="45"/>
      <c r="G44" s="59"/>
      <c r="H44" s="59"/>
      <c r="I44" s="59"/>
      <c r="J44" s="45"/>
    </row>
    <row r="45" spans="1:10" s="151" customFormat="1" ht="18">
      <c r="A45" s="365"/>
      <c r="B45" s="154" t="s">
        <v>313</v>
      </c>
      <c r="C45" s="45"/>
      <c r="D45" s="45"/>
      <c r="E45" s="45"/>
      <c r="F45" s="45"/>
      <c r="G45" s="59"/>
      <c r="H45" s="59"/>
      <c r="I45" s="59"/>
      <c r="J45" s="45"/>
    </row>
    <row r="46" spans="1:10">
      <c r="A46" s="59"/>
      <c r="B46" s="154" t="s">
        <v>392</v>
      </c>
      <c r="G46" s="59"/>
      <c r="H46" s="59"/>
      <c r="I46" s="59"/>
    </row>
    <row r="47" spans="1:10" ht="15" customHeight="1">
      <c r="A47" s="59"/>
      <c r="B47" s="890" t="s">
        <v>393</v>
      </c>
      <c r="C47" s="890"/>
      <c r="D47" s="890"/>
      <c r="E47" s="890"/>
      <c r="F47" s="890"/>
      <c r="G47" s="890"/>
      <c r="H47" s="890"/>
      <c r="I47" s="890"/>
    </row>
    <row r="48" spans="1:10">
      <c r="A48" s="59"/>
      <c r="B48" s="154" t="s">
        <v>305</v>
      </c>
      <c r="C48" s="59"/>
      <c r="D48" s="469"/>
      <c r="E48" s="59"/>
      <c r="F48" s="59"/>
      <c r="G48" s="59"/>
      <c r="H48" s="59"/>
      <c r="I48" s="445"/>
    </row>
    <row r="49" spans="1:10">
      <c r="A49" s="59"/>
    </row>
    <row r="50" spans="1:10" ht="15.75">
      <c r="A50" s="59"/>
      <c r="C50" s="159"/>
      <c r="D50" s="159"/>
      <c r="E50" s="159"/>
      <c r="F50" s="159"/>
      <c r="G50" s="159"/>
      <c r="H50" s="159"/>
      <c r="I50" s="445"/>
    </row>
    <row r="51" spans="1:10" ht="18">
      <c r="A51" s="59"/>
      <c r="B51" s="891" t="str">
        <f>+B1</f>
        <v>Dayton Power and Light</v>
      </c>
      <c r="C51" s="892"/>
      <c r="D51" s="892"/>
      <c r="E51" s="892"/>
      <c r="F51" s="892"/>
      <c r="G51" s="892"/>
      <c r="H51" s="892"/>
      <c r="I51" s="892"/>
      <c r="J51" s="151"/>
    </row>
    <row r="52" spans="1:10" ht="18">
      <c r="A52" s="59"/>
      <c r="B52" s="891" t="str">
        <f>+B2</f>
        <v xml:space="preserve">ATTACHMENT H-15A </v>
      </c>
      <c r="C52" s="891"/>
      <c r="D52" s="891"/>
      <c r="E52" s="891"/>
      <c r="F52" s="891"/>
      <c r="G52" s="891"/>
      <c r="H52" s="891"/>
      <c r="I52" s="891"/>
      <c r="J52" s="151"/>
    </row>
    <row r="53" spans="1:10" ht="18">
      <c r="A53" s="59"/>
      <c r="B53" s="891" t="str">
        <f>+B3</f>
        <v>Attachment 1C - Accumulated Deferred Income Taxes (ADIT) Worksheet - December 31 of Prior Year</v>
      </c>
      <c r="C53" s="891"/>
      <c r="D53" s="891"/>
      <c r="E53" s="891"/>
      <c r="F53" s="891"/>
      <c r="G53" s="891"/>
      <c r="H53" s="891"/>
      <c r="I53" s="891"/>
      <c r="J53" s="151"/>
    </row>
    <row r="54" spans="1:10" ht="15.75">
      <c r="A54" s="59"/>
      <c r="B54" s="895"/>
      <c r="C54" s="895"/>
      <c r="D54" s="895"/>
      <c r="E54" s="895"/>
      <c r="F54" s="895"/>
      <c r="G54" s="895"/>
      <c r="H54" s="895"/>
      <c r="I54" s="895"/>
    </row>
    <row r="55" spans="1:10" ht="25.15" customHeight="1">
      <c r="A55" s="59"/>
      <c r="B55" s="159" t="s">
        <v>207</v>
      </c>
      <c r="C55" s="159" t="s">
        <v>209</v>
      </c>
      <c r="D55" s="159" t="s">
        <v>211</v>
      </c>
      <c r="E55" s="159" t="s">
        <v>213</v>
      </c>
      <c r="F55" s="159" t="s">
        <v>215</v>
      </c>
      <c r="G55" s="159" t="s">
        <v>217</v>
      </c>
      <c r="H55" s="159"/>
      <c r="I55" s="627"/>
    </row>
    <row r="56" spans="1:10" ht="25.15" customHeight="1">
      <c r="A56" s="59"/>
      <c r="B56" s="45"/>
      <c r="C56" s="153" t="s">
        <v>67</v>
      </c>
      <c r="D56" s="153"/>
      <c r="E56" s="153" t="s">
        <v>254</v>
      </c>
      <c r="F56" s="153"/>
      <c r="G56" s="153"/>
      <c r="H56" s="153"/>
      <c r="I56" s="628"/>
    </row>
    <row r="57" spans="1:10" ht="26.45" customHeight="1">
      <c r="A57" s="59"/>
      <c r="B57" s="155" t="s">
        <v>307</v>
      </c>
      <c r="C57" s="153"/>
      <c r="D57" s="153"/>
      <c r="E57" s="153" t="s">
        <v>56</v>
      </c>
      <c r="F57" s="153" t="s">
        <v>255</v>
      </c>
      <c r="G57" s="153" t="s">
        <v>256</v>
      </c>
      <c r="H57" s="153"/>
      <c r="I57" s="628"/>
    </row>
    <row r="58" spans="1:10" ht="22.15" customHeight="1" thickBot="1">
      <c r="A58" s="59"/>
      <c r="C58" s="153"/>
      <c r="D58" s="153" t="str">
        <f>+D25</f>
        <v>Excluded</v>
      </c>
      <c r="E58" s="153" t="s">
        <v>257</v>
      </c>
      <c r="F58" s="153" t="s">
        <v>257</v>
      </c>
      <c r="G58" s="153" t="s">
        <v>257</v>
      </c>
      <c r="H58" s="153"/>
      <c r="I58" s="159" t="s">
        <v>394</v>
      </c>
    </row>
    <row r="59" spans="1:10" ht="27.6" customHeight="1">
      <c r="A59" s="59">
        <f>+A40+1</f>
        <v>23</v>
      </c>
      <c r="B59" s="504" t="s">
        <v>308</v>
      </c>
      <c r="C59" s="815">
        <f>+SUM(D59:G59)</f>
        <v>0</v>
      </c>
      <c r="D59" s="759">
        <v>0</v>
      </c>
      <c r="E59" s="760">
        <v>0</v>
      </c>
      <c r="F59" s="551">
        <v>0</v>
      </c>
      <c r="G59" s="551">
        <v>0</v>
      </c>
      <c r="H59" s="818"/>
      <c r="I59" s="406" t="s">
        <v>395</v>
      </c>
    </row>
    <row r="60" spans="1:10" ht="35.1" customHeight="1">
      <c r="A60" s="59">
        <f>+A59+1</f>
        <v>24</v>
      </c>
      <c r="B60" s="333" t="s">
        <v>309</v>
      </c>
      <c r="C60" s="815">
        <f>+SUM(D60:G60)</f>
        <v>-6712557</v>
      </c>
      <c r="D60" s="551">
        <v>4150</v>
      </c>
      <c r="E60" s="561">
        <v>-3795911</v>
      </c>
      <c r="F60" s="551">
        <v>0</v>
      </c>
      <c r="G60" s="551">
        <v>-2920796</v>
      </c>
      <c r="H60" s="687"/>
      <c r="I60" s="652" t="s">
        <v>310</v>
      </c>
    </row>
    <row r="61" spans="1:10" ht="35.1" customHeight="1" thickBot="1">
      <c r="A61" s="59">
        <f>+A60+1</f>
        <v>25</v>
      </c>
      <c r="B61" s="330" t="s">
        <v>67</v>
      </c>
      <c r="C61" s="557">
        <f>+SUM(C59:C60)</f>
        <v>-6712557</v>
      </c>
      <c r="D61" s="557">
        <f t="shared" ref="D61:G61" si="6">+SUM(D59:D60)</f>
        <v>4150</v>
      </c>
      <c r="E61" s="557">
        <f t="shared" si="6"/>
        <v>-3795911</v>
      </c>
      <c r="F61" s="557">
        <f t="shared" si="6"/>
        <v>0</v>
      </c>
      <c r="G61" s="557">
        <f t="shared" si="6"/>
        <v>-2920796</v>
      </c>
      <c r="H61" s="557"/>
      <c r="I61" s="329"/>
    </row>
    <row r="62" spans="1:10" ht="23.45" customHeight="1">
      <c r="A62" s="59"/>
      <c r="B62" s="45" t="s">
        <v>311</v>
      </c>
      <c r="C62" s="58"/>
      <c r="D62" s="58"/>
      <c r="E62" s="159"/>
      <c r="F62" s="162"/>
      <c r="H62" s="58"/>
      <c r="I62" s="399"/>
    </row>
    <row r="63" spans="1:10" ht="23.45" customHeight="1">
      <c r="A63" s="59"/>
      <c r="B63" s="154" t="s">
        <v>312</v>
      </c>
      <c r="C63" s="58"/>
      <c r="D63" s="58"/>
      <c r="E63" s="58"/>
      <c r="F63" s="58"/>
      <c r="G63" s="159"/>
      <c r="H63" s="159"/>
      <c r="I63" s="159"/>
    </row>
    <row r="64" spans="1:10" ht="15.75">
      <c r="A64" s="59"/>
      <c r="B64" s="154" t="s">
        <v>301</v>
      </c>
      <c r="C64" s="58"/>
      <c r="D64" s="58"/>
      <c r="E64" s="58"/>
      <c r="F64" s="58"/>
      <c r="G64" s="159"/>
      <c r="H64" s="159"/>
      <c r="I64" s="159"/>
    </row>
    <row r="65" spans="1:10" ht="18" customHeight="1">
      <c r="A65" s="59"/>
      <c r="B65" s="154" t="s">
        <v>313</v>
      </c>
      <c r="C65" s="58"/>
      <c r="D65" s="58"/>
      <c r="E65" s="58"/>
      <c r="F65" s="58"/>
      <c r="G65" s="159"/>
      <c r="H65" s="159"/>
      <c r="I65" s="159"/>
    </row>
    <row r="66" spans="1:10" s="151" customFormat="1" ht="18" customHeight="1">
      <c r="A66" s="365"/>
      <c r="B66" s="154" t="s">
        <v>314</v>
      </c>
      <c r="C66" s="58"/>
      <c r="D66" s="58"/>
      <c r="E66" s="58"/>
      <c r="F66" s="58"/>
      <c r="G66" s="159"/>
      <c r="H66" s="159"/>
      <c r="I66" s="159"/>
      <c r="J66" s="45"/>
    </row>
    <row r="67" spans="1:10" s="151" customFormat="1" ht="18">
      <c r="A67" s="365"/>
      <c r="B67" s="890" t="s">
        <v>393</v>
      </c>
      <c r="C67" s="890"/>
      <c r="D67" s="890"/>
      <c r="E67" s="890"/>
      <c r="F67" s="890"/>
      <c r="G67" s="890"/>
      <c r="H67" s="890"/>
      <c r="I67" s="890"/>
      <c r="J67" s="45"/>
    </row>
    <row r="68" spans="1:10" s="151" customFormat="1" ht="18">
      <c r="A68" s="365"/>
      <c r="B68" s="154" t="s">
        <v>305</v>
      </c>
      <c r="C68" s="59"/>
      <c r="D68" s="469"/>
      <c r="E68" s="59"/>
      <c r="F68" s="59"/>
      <c r="G68" s="59"/>
      <c r="H68" s="59"/>
      <c r="I68" s="445"/>
      <c r="J68" s="45"/>
    </row>
    <row r="69" spans="1:10" s="151" customFormat="1" ht="18">
      <c r="A69" s="365"/>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91" t="str">
        <f>+B52</f>
        <v xml:space="preserve">ATTACHMENT H-15A </v>
      </c>
      <c r="C71" s="891"/>
      <c r="D71" s="891"/>
      <c r="E71" s="891"/>
      <c r="F71" s="891"/>
      <c r="G71" s="891"/>
      <c r="H71" s="891"/>
      <c r="I71" s="891"/>
      <c r="J71" s="151"/>
    </row>
    <row r="72" spans="1:10" ht="18">
      <c r="A72" s="59"/>
      <c r="B72" s="891" t="str">
        <f>+B3</f>
        <v>Attachment 1C - Accumulated Deferred Income Taxes (ADIT) Worksheet - December 31 of Prior Year</v>
      </c>
      <c r="C72" s="891"/>
      <c r="D72" s="891"/>
      <c r="E72" s="891"/>
      <c r="F72" s="891"/>
      <c r="G72" s="891"/>
      <c r="H72" s="891"/>
      <c r="I72" s="891"/>
      <c r="J72" s="151"/>
    </row>
    <row r="73" spans="1:10" ht="20.100000000000001" customHeight="1">
      <c r="A73" s="59"/>
      <c r="B73" s="163"/>
      <c r="C73" s="151"/>
      <c r="D73" s="151"/>
      <c r="E73" s="151"/>
      <c r="F73" s="151"/>
      <c r="G73" s="149"/>
      <c r="H73" s="149"/>
      <c r="I73" s="185"/>
      <c r="J73" s="151"/>
    </row>
    <row r="74" spans="1:10" ht="36.75" customHeight="1">
      <c r="A74" s="59"/>
      <c r="B74" s="159" t="s">
        <v>207</v>
      </c>
      <c r="C74" s="159" t="s">
        <v>209</v>
      </c>
      <c r="D74" s="159" t="s">
        <v>211</v>
      </c>
      <c r="E74" s="159" t="s">
        <v>213</v>
      </c>
      <c r="F74" s="159" t="s">
        <v>215</v>
      </c>
      <c r="G74" s="159" t="s">
        <v>217</v>
      </c>
      <c r="H74" s="159"/>
      <c r="I74" s="159" t="s">
        <v>219</v>
      </c>
    </row>
    <row r="75" spans="1:10" ht="33.75" customHeight="1">
      <c r="A75" s="59"/>
      <c r="B75" s="155" t="s">
        <v>315</v>
      </c>
      <c r="C75" s="153" t="s">
        <v>67</v>
      </c>
      <c r="D75" s="165"/>
      <c r="E75" s="165" t="s">
        <v>396</v>
      </c>
      <c r="F75" s="165" t="s">
        <v>255</v>
      </c>
      <c r="G75" s="165" t="s">
        <v>256</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316</v>
      </c>
      <c r="C77" s="549">
        <f>+SUM(D77:G77)</f>
        <v>-6274880</v>
      </c>
      <c r="D77" s="549">
        <v>0</v>
      </c>
      <c r="E77" s="549">
        <v>0</v>
      </c>
      <c r="F77" s="549">
        <v>0</v>
      </c>
      <c r="G77" s="549">
        <v>-6274880</v>
      </c>
      <c r="H77" s="688"/>
      <c r="I77" s="651" t="s">
        <v>317</v>
      </c>
    </row>
    <row r="78" spans="1:10" ht="43.5" customHeight="1">
      <c r="A78" s="59">
        <f>+A77+1</f>
        <v>27</v>
      </c>
      <c r="B78" s="333" t="s">
        <v>318</v>
      </c>
      <c r="C78" s="551">
        <f>+SUM(D78:G78)</f>
        <v>-857412</v>
      </c>
      <c r="D78" s="551">
        <v>-857412</v>
      </c>
      <c r="E78" s="551">
        <v>0</v>
      </c>
      <c r="F78" s="551">
        <v>0</v>
      </c>
      <c r="G78" s="551">
        <v>0</v>
      </c>
      <c r="H78" s="687"/>
      <c r="I78" s="408" t="s">
        <v>319</v>
      </c>
    </row>
    <row r="79" spans="1:10" ht="40.5" customHeight="1">
      <c r="A79" s="59">
        <f t="shared" ref="A79:A87" si="7">+A78+1</f>
        <v>28</v>
      </c>
      <c r="B79" s="333" t="s">
        <v>320</v>
      </c>
      <c r="C79" s="551">
        <f t="shared" ref="C79:C83" si="8">+SUM(D79:G79)</f>
        <v>-19748578</v>
      </c>
      <c r="D79" s="551">
        <v>-19748578</v>
      </c>
      <c r="E79" s="551">
        <v>0</v>
      </c>
      <c r="F79" s="551">
        <v>0</v>
      </c>
      <c r="G79" s="551">
        <v>0</v>
      </c>
      <c r="H79" s="687"/>
      <c r="I79" s="408" t="s">
        <v>321</v>
      </c>
    </row>
    <row r="80" spans="1:10" s="530" customFormat="1" ht="33" customHeight="1">
      <c r="A80" s="653">
        <f t="shared" si="7"/>
        <v>29</v>
      </c>
      <c r="B80" s="654" t="s">
        <v>322</v>
      </c>
      <c r="C80" s="551">
        <f t="shared" si="8"/>
        <v>0</v>
      </c>
      <c r="D80" s="551">
        <v>0</v>
      </c>
      <c r="E80" s="551">
        <v>0</v>
      </c>
      <c r="F80" s="551">
        <v>0</v>
      </c>
      <c r="G80" s="551">
        <v>0</v>
      </c>
      <c r="H80" s="687"/>
      <c r="I80" s="408" t="s">
        <v>323</v>
      </c>
    </row>
    <row r="81" spans="1:9" ht="25.15" customHeight="1">
      <c r="A81" s="59">
        <f t="shared" si="7"/>
        <v>30</v>
      </c>
      <c r="B81" s="503" t="s">
        <v>324</v>
      </c>
      <c r="C81" s="551">
        <f t="shared" si="8"/>
        <v>14073056</v>
      </c>
      <c r="D81" s="551">
        <v>0</v>
      </c>
      <c r="E81" s="551">
        <v>0</v>
      </c>
      <c r="F81" s="551">
        <v>14073056</v>
      </c>
      <c r="G81" s="551">
        <v>0</v>
      </c>
      <c r="H81" s="687"/>
      <c r="I81" s="404" t="s">
        <v>279</v>
      </c>
    </row>
    <row r="82" spans="1:9" ht="25.15" customHeight="1">
      <c r="A82" s="59">
        <f t="shared" si="7"/>
        <v>31</v>
      </c>
      <c r="B82" s="333" t="s">
        <v>325</v>
      </c>
      <c r="C82" s="551">
        <f t="shared" si="8"/>
        <v>805104</v>
      </c>
      <c r="D82" s="551">
        <v>0</v>
      </c>
      <c r="E82" s="551">
        <v>0</v>
      </c>
      <c r="F82" s="551">
        <v>0</v>
      </c>
      <c r="G82" s="551">
        <v>805104</v>
      </c>
      <c r="H82" s="687"/>
      <c r="I82" s="408" t="s">
        <v>326</v>
      </c>
    </row>
    <row r="83" spans="1:9" ht="25.15" customHeight="1" thickBot="1">
      <c r="A83" s="59">
        <f>+A82+1</f>
        <v>32</v>
      </c>
      <c r="B83" s="333" t="s">
        <v>294</v>
      </c>
      <c r="C83" s="551">
        <f t="shared" si="8"/>
        <v>-22349631</v>
      </c>
      <c r="D83" s="551">
        <v>-22349631</v>
      </c>
      <c r="E83" s="551">
        <v>0</v>
      </c>
      <c r="F83" s="551">
        <v>0</v>
      </c>
      <c r="G83" s="551">
        <v>0</v>
      </c>
      <c r="H83" s="687"/>
      <c r="I83" s="408" t="s">
        <v>397</v>
      </c>
    </row>
    <row r="84" spans="1:9" ht="35.1" customHeight="1">
      <c r="A84" s="59">
        <f t="shared" si="7"/>
        <v>33</v>
      </c>
      <c r="B84" s="174" t="s">
        <v>328</v>
      </c>
      <c r="C84" s="562">
        <f>SUM(C77:C83)</f>
        <v>-34352341</v>
      </c>
      <c r="D84" s="562">
        <f t="shared" ref="D84:G84" si="9">SUM(D77:D83)</f>
        <v>-42955621</v>
      </c>
      <c r="E84" s="562">
        <f t="shared" si="9"/>
        <v>0</v>
      </c>
      <c r="F84" s="562">
        <f>SUM(F77:F83)</f>
        <v>14073056</v>
      </c>
      <c r="G84" s="562">
        <f t="shared" si="9"/>
        <v>-5469776</v>
      </c>
      <c r="H84" s="562"/>
      <c r="I84" s="175"/>
    </row>
    <row r="85" spans="1:9" ht="15.6" customHeight="1">
      <c r="A85" s="59">
        <f t="shared" si="7"/>
        <v>34</v>
      </c>
      <c r="B85" s="166" t="s">
        <v>329</v>
      </c>
      <c r="C85" s="554">
        <f>+C81</f>
        <v>14073056</v>
      </c>
      <c r="D85" s="554">
        <f>+D81</f>
        <v>0</v>
      </c>
      <c r="E85" s="554">
        <f>+E81</f>
        <v>0</v>
      </c>
      <c r="F85" s="554">
        <f>+F81</f>
        <v>14073056</v>
      </c>
      <c r="G85" s="554">
        <f>+G81</f>
        <v>0</v>
      </c>
      <c r="H85" s="567"/>
      <c r="I85" s="167"/>
    </row>
    <row r="86" spans="1:9" ht="15.6" customHeight="1">
      <c r="A86" s="59">
        <f t="shared" si="7"/>
        <v>35</v>
      </c>
      <c r="B86" s="394" t="s">
        <v>330</v>
      </c>
      <c r="C86" s="563">
        <f>+C78</f>
        <v>-857412</v>
      </c>
      <c r="D86" s="563">
        <f>+D78</f>
        <v>-857412</v>
      </c>
      <c r="E86" s="563">
        <f>+E78</f>
        <v>0</v>
      </c>
      <c r="F86" s="563">
        <f>+F78</f>
        <v>0</v>
      </c>
      <c r="G86" s="563">
        <f>+G78</f>
        <v>0</v>
      </c>
      <c r="H86" s="568"/>
      <c r="I86" s="395" t="s">
        <v>331</v>
      </c>
    </row>
    <row r="87" spans="1:9" ht="35.1" customHeight="1" thickBot="1">
      <c r="A87" s="59">
        <f t="shared" si="7"/>
        <v>36</v>
      </c>
      <c r="B87" s="330" t="s">
        <v>67</v>
      </c>
      <c r="C87" s="557">
        <f>+C84-C85-C86</f>
        <v>-47567985</v>
      </c>
      <c r="D87" s="557">
        <f t="shared" ref="D87:G87" si="10">+D84-D85-D86</f>
        <v>-42098209</v>
      </c>
      <c r="E87" s="557">
        <f t="shared" si="10"/>
        <v>0</v>
      </c>
      <c r="F87" s="557">
        <f t="shared" si="10"/>
        <v>0</v>
      </c>
      <c r="G87" s="557">
        <f t="shared" si="10"/>
        <v>-5469776</v>
      </c>
      <c r="H87" s="557"/>
      <c r="I87" s="329"/>
    </row>
    <row r="88" spans="1:9" ht="28.15" customHeight="1">
      <c r="A88" s="59"/>
      <c r="B88" s="45" t="s">
        <v>332</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301</v>
      </c>
      <c r="C90" s="58"/>
      <c r="D90" s="58"/>
      <c r="E90" s="58"/>
      <c r="F90" s="58"/>
      <c r="G90" s="159"/>
      <c r="H90" s="159"/>
      <c r="I90" s="159"/>
    </row>
    <row r="91" spans="1:9" ht="15" customHeight="1">
      <c r="A91" s="59"/>
      <c r="B91" s="154" t="s">
        <v>313</v>
      </c>
      <c r="C91" s="58"/>
      <c r="D91" s="58"/>
      <c r="E91" s="58"/>
      <c r="F91" s="58"/>
      <c r="G91" s="159"/>
      <c r="H91" s="159"/>
      <c r="I91" s="159"/>
    </row>
    <row r="92" spans="1:9" ht="15.75">
      <c r="A92" s="59"/>
      <c r="B92" s="154" t="s">
        <v>314</v>
      </c>
      <c r="C92" s="58"/>
      <c r="D92" s="58"/>
      <c r="E92" s="58"/>
      <c r="F92" s="58"/>
      <c r="G92" s="159"/>
      <c r="H92" s="159"/>
      <c r="I92" s="159"/>
    </row>
    <row r="93" spans="1:9" ht="15.75" customHeight="1">
      <c r="A93" s="59"/>
      <c r="B93" s="890" t="s">
        <v>393</v>
      </c>
      <c r="C93" s="890"/>
      <c r="D93" s="890"/>
      <c r="E93" s="890"/>
      <c r="F93" s="890"/>
      <c r="G93" s="890"/>
      <c r="H93" s="890"/>
      <c r="I93" s="890"/>
    </row>
    <row r="94" spans="1:9" ht="15.75" customHeight="1">
      <c r="A94" s="59"/>
      <c r="B94" s="154" t="s">
        <v>305</v>
      </c>
      <c r="C94" s="59"/>
      <c r="D94" s="469"/>
      <c r="E94" s="59"/>
      <c r="F94" s="59"/>
      <c r="G94" s="59"/>
      <c r="H94" s="59"/>
      <c r="I94" s="445"/>
    </row>
    <row r="95" spans="1:9">
      <c r="A95" s="59"/>
      <c r="C95" s="170"/>
      <c r="D95" s="170"/>
      <c r="E95" s="170"/>
      <c r="F95" s="170"/>
      <c r="G95" s="170"/>
      <c r="H95" s="170"/>
      <c r="I95" s="170"/>
    </row>
    <row r="96" spans="1:9" ht="15.75">
      <c r="A96" s="59"/>
      <c r="B96" s="889"/>
      <c r="C96" s="889"/>
      <c r="D96" s="889"/>
      <c r="E96" s="889"/>
      <c r="F96" s="889"/>
      <c r="G96" s="889"/>
      <c r="H96" s="889"/>
      <c r="I96" s="889"/>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zoomScale="70" zoomScaleNormal="70" zoomScaleSheetLayoutView="50" workbookViewId="0">
      <selection activeCell="B6" sqref="B6"/>
    </sheetView>
  </sheetViews>
  <sheetFormatPr defaultRowHeight="12.75"/>
  <cols>
    <col min="1" max="1" width="5.140625" customWidth="1"/>
    <col min="2" max="2" width="30.285156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93" t="s">
        <v>0</v>
      </c>
      <c r="C3" s="893"/>
      <c r="D3" s="893"/>
      <c r="E3" s="893"/>
      <c r="F3" s="893"/>
      <c r="G3" s="893"/>
      <c r="H3" s="893"/>
      <c r="I3" s="893"/>
    </row>
    <row r="4" spans="1:9" ht="18">
      <c r="B4" s="893" t="s">
        <v>1</v>
      </c>
      <c r="C4" s="893"/>
      <c r="D4" s="893"/>
      <c r="E4" s="893"/>
      <c r="F4" s="893"/>
      <c r="G4" s="893"/>
      <c r="H4" s="893"/>
      <c r="I4" s="893"/>
    </row>
    <row r="5" spans="1:9" ht="18">
      <c r="B5" s="893" t="s">
        <v>398</v>
      </c>
      <c r="C5" s="893"/>
      <c r="D5" s="893"/>
      <c r="E5" s="893"/>
      <c r="F5" s="893"/>
      <c r="G5" s="893"/>
      <c r="H5" s="893"/>
      <c r="I5" s="893"/>
    </row>
    <row r="6" spans="1:9" ht="15">
      <c r="B6" s="883" t="s">
        <v>1037</v>
      </c>
      <c r="C6" s="45"/>
      <c r="D6" s="45"/>
      <c r="E6" s="45"/>
      <c r="F6" s="45"/>
      <c r="G6" s="45"/>
      <c r="H6" s="45"/>
      <c r="I6" s="45"/>
    </row>
    <row r="7" spans="1:9" ht="18">
      <c r="B7" s="178"/>
      <c r="C7" s="1"/>
      <c r="D7" s="153" t="s">
        <v>254</v>
      </c>
      <c r="E7" s="153"/>
      <c r="F7" s="45"/>
      <c r="G7" s="153"/>
      <c r="H7" s="153"/>
      <c r="I7" s="45"/>
    </row>
    <row r="8" spans="1:9" ht="18">
      <c r="B8" s="154"/>
      <c r="C8" s="45"/>
      <c r="D8" s="153" t="s">
        <v>56</v>
      </c>
      <c r="E8" s="153" t="s">
        <v>255</v>
      </c>
      <c r="F8" s="153" t="s">
        <v>256</v>
      </c>
      <c r="G8" s="153"/>
      <c r="H8" s="153" t="s">
        <v>67</v>
      </c>
      <c r="I8" s="627"/>
    </row>
    <row r="9" spans="1:9" ht="18">
      <c r="B9" s="154"/>
      <c r="C9" s="45"/>
      <c r="D9" s="153" t="s">
        <v>257</v>
      </c>
      <c r="E9" s="153" t="s">
        <v>257</v>
      </c>
      <c r="F9" s="153" t="s">
        <v>257</v>
      </c>
      <c r="G9" s="153"/>
      <c r="H9" s="153" t="s">
        <v>258</v>
      </c>
      <c r="I9" s="628"/>
    </row>
    <row r="10" spans="1:9" ht="25.5">
      <c r="B10" s="346"/>
      <c r="C10" s="343"/>
      <c r="D10" s="343"/>
      <c r="E10" s="343"/>
      <c r="F10" s="343"/>
      <c r="G10" s="343"/>
      <c r="H10" s="343"/>
      <c r="I10" s="628"/>
    </row>
    <row r="11" spans="1:9" ht="15">
      <c r="B11" s="154"/>
      <c r="C11" s="45"/>
      <c r="D11" s="45"/>
      <c r="E11" s="45"/>
      <c r="F11" s="45"/>
      <c r="G11" s="45"/>
      <c r="H11" s="45"/>
      <c r="I11" s="45"/>
    </row>
    <row r="12" spans="1:9" ht="15.75">
      <c r="A12" s="398">
        <f>+A11+1</f>
        <v>1</v>
      </c>
      <c r="B12" s="154"/>
      <c r="C12" s="58" t="s">
        <v>270</v>
      </c>
      <c r="D12" s="156">
        <f>+E47</f>
        <v>0</v>
      </c>
      <c r="E12" s="156">
        <f>+F47</f>
        <v>0</v>
      </c>
      <c r="F12" s="156">
        <f>+G47</f>
        <v>0</v>
      </c>
      <c r="G12" s="156"/>
      <c r="H12" s="156"/>
      <c r="I12" s="91" t="str">
        <f>"(Line "&amp;A47&amp;")"</f>
        <v>(Line 26)</v>
      </c>
    </row>
    <row r="13" spans="1:9" ht="15.75">
      <c r="A13" s="398">
        <f>+A12+1</f>
        <v>2</v>
      </c>
      <c r="B13" s="154"/>
      <c r="C13" s="58" t="s">
        <v>260</v>
      </c>
      <c r="D13" s="156">
        <f>+E67</f>
        <v>0</v>
      </c>
      <c r="E13" s="156">
        <f>+F67</f>
        <v>0</v>
      </c>
      <c r="F13" s="156">
        <f>+G67</f>
        <v>0</v>
      </c>
      <c r="G13" s="156"/>
      <c r="H13" s="156"/>
      <c r="I13" s="91" t="str">
        <f>"(Line "&amp;A67&amp;")"</f>
        <v>(Line 29)</v>
      </c>
    </row>
    <row r="14" spans="1:9" ht="15.75">
      <c r="A14" s="398">
        <f>+A13+1</f>
        <v>3</v>
      </c>
      <c r="B14" s="154"/>
      <c r="C14" s="58" t="s">
        <v>315</v>
      </c>
      <c r="D14" s="452">
        <f>+E97</f>
        <v>0</v>
      </c>
      <c r="E14" s="452">
        <f>+F97</f>
        <v>0</v>
      </c>
      <c r="F14" s="452">
        <f>+G97</f>
        <v>0</v>
      </c>
      <c r="G14" s="156"/>
      <c r="H14" s="156"/>
      <c r="I14" s="91" t="str">
        <f>"(Line "&amp;A97&amp;")"</f>
        <v>(Line 37)</v>
      </c>
    </row>
    <row r="15" spans="1:9" ht="15.75">
      <c r="A15" s="398">
        <f>+A14+1</f>
        <v>4</v>
      </c>
      <c r="B15" s="154"/>
      <c r="C15" s="58" t="s">
        <v>90</v>
      </c>
      <c r="D15" s="156">
        <f>SUM(D12:D14)</f>
        <v>0</v>
      </c>
      <c r="E15" s="156">
        <f t="shared" ref="E15:F15" si="0">SUM(E12:E14)</f>
        <v>0</v>
      </c>
      <c r="F15" s="156">
        <f t="shared" si="0"/>
        <v>0</v>
      </c>
      <c r="G15" s="156"/>
      <c r="H15" s="156"/>
      <c r="I15" s="91" t="str">
        <f>"(Line "&amp;A12&amp;" + Line "&amp;A13&amp;" + Line "&amp;A14&amp;")"</f>
        <v>(Line 1 + Line 2 + Line 3)</v>
      </c>
    </row>
    <row r="16" spans="1:9" ht="15.75">
      <c r="A16" s="398">
        <f t="shared" ref="A16:A20" si="1">+A15+1</f>
        <v>5</v>
      </c>
      <c r="B16" s="154"/>
      <c r="C16" s="58" t="s">
        <v>12</v>
      </c>
      <c r="D16" s="45"/>
      <c r="E16" s="45"/>
      <c r="F16" s="461">
        <f>+'Appendix A'!H16</f>
        <v>0.12508709030780155</v>
      </c>
      <c r="G16" s="45"/>
      <c r="H16" s="45"/>
      <c r="I16" s="19" t="str">
        <f>"(Appendix A, Line "&amp;'Appendix A'!A16&amp;")"</f>
        <v>(Appendix A, Line 5)</v>
      </c>
    </row>
    <row r="17" spans="1:9" ht="15.75">
      <c r="A17" s="398">
        <f t="shared" si="1"/>
        <v>6</v>
      </c>
      <c r="B17" s="154"/>
      <c r="C17" s="58" t="s">
        <v>20</v>
      </c>
      <c r="D17" s="45"/>
      <c r="E17" s="461">
        <f>+'Appendix A'!H27</f>
        <v>0.26818076319772116</v>
      </c>
      <c r="F17" s="45"/>
      <c r="G17" s="45"/>
      <c r="H17" s="45"/>
      <c r="I17" s="19" t="str">
        <f>"(Appendix A, Line "&amp;'Appendix A'!A27&amp;")"</f>
        <v>(Appendix A, Line 12)</v>
      </c>
    </row>
    <row r="18" spans="1:9" ht="15.75">
      <c r="A18" s="398">
        <f>+A17+1</f>
        <v>7</v>
      </c>
      <c r="B18" s="154"/>
      <c r="C18" s="58" t="s">
        <v>262</v>
      </c>
      <c r="D18" s="342">
        <f>+D15</f>
        <v>0</v>
      </c>
      <c r="E18" s="342">
        <f>+E17*E15</f>
        <v>0</v>
      </c>
      <c r="F18" s="342">
        <f>+F16*F15</f>
        <v>0</v>
      </c>
      <c r="G18" s="342"/>
      <c r="H18" s="342">
        <f>+SUM(D18:G18)</f>
        <v>0</v>
      </c>
      <c r="I18" s="91" t="str">
        <f>"(Line "&amp;A15&amp;" * Line "&amp;A16&amp;" or Line "&amp;A17&amp;")"</f>
        <v>(Line 4 * Line 5 or Line 6)</v>
      </c>
    </row>
    <row r="19" spans="1:9" ht="15.75">
      <c r="A19" s="398">
        <f t="shared" si="1"/>
        <v>8</v>
      </c>
      <c r="B19" s="154"/>
      <c r="C19" s="58" t="s">
        <v>263</v>
      </c>
      <c r="D19" s="342">
        <v>0</v>
      </c>
      <c r="E19" s="342">
        <v>0</v>
      </c>
      <c r="F19" s="342">
        <v>0</v>
      </c>
      <c r="G19" s="342"/>
      <c r="H19" s="342">
        <f>+SUM(D19:G19)</f>
        <v>0</v>
      </c>
      <c r="I19" s="91" t="str">
        <f>"(Attachment 1C - ADIT Prior Year, Line "&amp;A18&amp;")"</f>
        <v>(Attachment 1C - ADIT Prior Year, Line 7)</v>
      </c>
    </row>
    <row r="20" spans="1:9" ht="15.75">
      <c r="A20" s="398">
        <f t="shared" si="1"/>
        <v>9</v>
      </c>
      <c r="B20" s="154"/>
      <c r="C20" s="58" t="s">
        <v>399</v>
      </c>
      <c r="D20" s="342">
        <f>(D18+D19)/2</f>
        <v>0</v>
      </c>
      <c r="E20" s="342">
        <f>(E18+E19)/2</f>
        <v>0</v>
      </c>
      <c r="F20" s="342">
        <f>(F18+F19)/2</f>
        <v>0</v>
      </c>
      <c r="G20" s="342"/>
      <c r="H20" s="342">
        <f>+SUM(D20:G20)</f>
        <v>0</v>
      </c>
      <c r="I20" s="91" t="str">
        <f>"(Average of Line "&amp;A18&amp;" + Line "&amp;A19&amp;")"</f>
        <v>(Average of Line 7 + Line 8)</v>
      </c>
    </row>
    <row r="21" spans="1:9" ht="15.75">
      <c r="A21" s="398">
        <f>+A20+1</f>
        <v>10</v>
      </c>
      <c r="B21" s="58"/>
      <c r="C21" s="58" t="s">
        <v>265</v>
      </c>
      <c r="D21" s="342"/>
      <c r="E21" s="342"/>
      <c r="F21" s="342"/>
      <c r="G21" s="342"/>
      <c r="H21" s="342">
        <v>0</v>
      </c>
      <c r="I21" s="19" t="str">
        <f>"(Attachment 1E, Line "&amp;'1E - ADIT True-Up Proration'!A27&amp;")"</f>
        <v>(Attachment 1E, Line 13)</v>
      </c>
    </row>
    <row r="22" spans="1:9" ht="15.75">
      <c r="A22" s="398">
        <f>+A21+1</f>
        <v>11</v>
      </c>
      <c r="B22" s="58"/>
      <c r="C22" s="58" t="s">
        <v>400</v>
      </c>
      <c r="D22" s="342"/>
      <c r="E22" s="342"/>
      <c r="F22" s="342"/>
      <c r="G22" s="342"/>
      <c r="H22" s="569">
        <f>+H20+H21</f>
        <v>0</v>
      </c>
      <c r="I22" s="45"/>
    </row>
    <row r="23" spans="1:9" ht="15.75">
      <c r="A23" s="398"/>
      <c r="B23" s="58"/>
      <c r="C23" s="58"/>
      <c r="D23" s="156"/>
      <c r="E23" s="45"/>
      <c r="F23" s="45"/>
      <c r="G23" s="45"/>
      <c r="H23" s="157"/>
      <c r="I23" s="45"/>
    </row>
    <row r="24" spans="1:9" ht="15">
      <c r="B24" s="45" t="s">
        <v>267</v>
      </c>
      <c r="C24" s="45"/>
      <c r="D24" s="45"/>
      <c r="E24" s="45"/>
      <c r="F24" s="45"/>
      <c r="G24" s="45"/>
      <c r="H24" s="45"/>
      <c r="I24" s="45"/>
    </row>
    <row r="25" spans="1:9" ht="15">
      <c r="B25" s="45"/>
      <c r="C25" s="45"/>
      <c r="D25" s="45"/>
      <c r="E25" s="45"/>
      <c r="F25" s="45"/>
      <c r="G25" s="45"/>
      <c r="H25" s="45"/>
      <c r="I25" s="45"/>
    </row>
    <row r="26" spans="1:9" ht="15">
      <c r="B26" s="154" t="s">
        <v>268</v>
      </c>
      <c r="C26" s="45"/>
      <c r="D26" s="45"/>
      <c r="E26" s="45"/>
      <c r="F26" s="45"/>
      <c r="G26" s="45"/>
      <c r="H26" s="45"/>
      <c r="I26" s="45"/>
    </row>
    <row r="27" spans="1:9" ht="15">
      <c r="B27" s="154" t="s">
        <v>269</v>
      </c>
      <c r="C27" s="45"/>
      <c r="D27" s="45"/>
      <c r="E27" s="45"/>
      <c r="F27" s="45"/>
      <c r="G27" s="45"/>
      <c r="H27" s="45"/>
      <c r="I27" s="45"/>
    </row>
    <row r="28" spans="1:9" ht="15">
      <c r="B28" s="154"/>
      <c r="C28" s="45"/>
      <c r="D28" s="45"/>
      <c r="E28" s="45"/>
      <c r="F28" s="45"/>
      <c r="G28" s="155"/>
      <c r="H28" s="155"/>
      <c r="I28" s="45"/>
    </row>
    <row r="29" spans="1:9" ht="15.75">
      <c r="B29" s="159" t="s">
        <v>207</v>
      </c>
      <c r="C29" s="159" t="s">
        <v>209</v>
      </c>
      <c r="D29" s="159" t="s">
        <v>211</v>
      </c>
      <c r="E29" s="159" t="s">
        <v>213</v>
      </c>
      <c r="F29" s="159" t="s">
        <v>215</v>
      </c>
      <c r="G29" s="159" t="s">
        <v>217</v>
      </c>
      <c r="H29" s="159"/>
      <c r="I29" s="159" t="s">
        <v>219</v>
      </c>
    </row>
    <row r="30" spans="1:9" ht="15">
      <c r="B30" s="154"/>
      <c r="C30" s="153" t="s">
        <v>67</v>
      </c>
      <c r="D30" s="153"/>
      <c r="E30" s="153" t="s">
        <v>254</v>
      </c>
      <c r="F30" s="153"/>
      <c r="G30" s="153"/>
      <c r="H30" s="153"/>
      <c r="I30" s="45"/>
    </row>
    <row r="31" spans="1:9" ht="15">
      <c r="B31" s="160" t="s">
        <v>270</v>
      </c>
      <c r="C31" s="153"/>
      <c r="D31" s="153"/>
      <c r="E31" s="153" t="s">
        <v>56</v>
      </c>
      <c r="F31" s="153" t="s">
        <v>255</v>
      </c>
      <c r="G31" s="153" t="s">
        <v>256</v>
      </c>
      <c r="H31" s="153"/>
      <c r="I31" s="45"/>
    </row>
    <row r="32" spans="1:9" ht="15.75" thickBot="1">
      <c r="B32" s="154"/>
      <c r="C32" s="153"/>
      <c r="D32" s="153" t="s">
        <v>271</v>
      </c>
      <c r="E32" s="153" t="s">
        <v>257</v>
      </c>
      <c r="F32" s="153" t="s">
        <v>257</v>
      </c>
      <c r="G32" s="153" t="s">
        <v>257</v>
      </c>
      <c r="H32" s="446"/>
      <c r="I32" s="153" t="s">
        <v>272</v>
      </c>
    </row>
    <row r="33" spans="1:9" ht="27.6" customHeight="1">
      <c r="A33" s="398">
        <f>+A22+1</f>
        <v>12</v>
      </c>
      <c r="B33" s="332" t="s">
        <v>273</v>
      </c>
      <c r="C33" s="548">
        <v>0</v>
      </c>
      <c r="D33" s="549">
        <v>0</v>
      </c>
      <c r="E33" s="549">
        <v>0</v>
      </c>
      <c r="F33" s="549">
        <v>0</v>
      </c>
      <c r="G33" s="549">
        <f>+C33</f>
        <v>0</v>
      </c>
      <c r="H33" s="686"/>
      <c r="I33" s="407" t="s">
        <v>274</v>
      </c>
    </row>
    <row r="34" spans="1:9" ht="30.6" customHeight="1">
      <c r="A34" s="398">
        <f>+A33+1</f>
        <v>13</v>
      </c>
      <c r="B34" s="333" t="s">
        <v>275</v>
      </c>
      <c r="C34" s="550">
        <v>0</v>
      </c>
      <c r="D34" s="551">
        <v>0</v>
      </c>
      <c r="E34" s="551">
        <v>0</v>
      </c>
      <c r="F34" s="551">
        <v>0</v>
      </c>
      <c r="G34" s="551">
        <v>0</v>
      </c>
      <c r="H34" s="687"/>
      <c r="I34" s="407" t="s">
        <v>276</v>
      </c>
    </row>
    <row r="35" spans="1:9" ht="32.450000000000003" customHeight="1">
      <c r="A35" s="398">
        <f t="shared" ref="A35:A46" si="2">+A34+1</f>
        <v>14</v>
      </c>
      <c r="B35" s="333" t="s">
        <v>277</v>
      </c>
      <c r="C35" s="550">
        <v>0</v>
      </c>
      <c r="D35" s="551">
        <v>0</v>
      </c>
      <c r="E35" s="551">
        <v>0</v>
      </c>
      <c r="F35" s="551">
        <v>0</v>
      </c>
      <c r="G35" s="551">
        <v>0</v>
      </c>
      <c r="H35" s="687"/>
      <c r="I35" s="407" t="s">
        <v>274</v>
      </c>
    </row>
    <row r="36" spans="1:9" ht="40.15" customHeight="1">
      <c r="A36" s="398">
        <f t="shared" si="2"/>
        <v>15</v>
      </c>
      <c r="B36" s="503" t="s">
        <v>278</v>
      </c>
      <c r="C36" s="550">
        <v>0</v>
      </c>
      <c r="D36" s="551">
        <v>0</v>
      </c>
      <c r="E36" s="551">
        <v>0</v>
      </c>
      <c r="F36" s="551">
        <v>0</v>
      </c>
      <c r="G36" s="551">
        <v>0</v>
      </c>
      <c r="H36" s="687"/>
      <c r="I36" s="405" t="s">
        <v>279</v>
      </c>
    </row>
    <row r="37" spans="1:9" ht="24.75" customHeight="1">
      <c r="A37" s="398">
        <f t="shared" si="2"/>
        <v>16</v>
      </c>
      <c r="B37" s="333" t="s">
        <v>280</v>
      </c>
      <c r="C37" s="550">
        <v>0</v>
      </c>
      <c r="D37" s="551">
        <v>0</v>
      </c>
      <c r="E37" s="551">
        <v>0</v>
      </c>
      <c r="F37" s="551">
        <v>0</v>
      </c>
      <c r="G37" s="551">
        <v>0</v>
      </c>
      <c r="H37" s="687"/>
      <c r="I37" s="407" t="s">
        <v>281</v>
      </c>
    </row>
    <row r="38" spans="1:9" ht="37.9" customHeight="1">
      <c r="A38" s="398">
        <f t="shared" si="2"/>
        <v>17</v>
      </c>
      <c r="B38" s="333" t="s">
        <v>282</v>
      </c>
      <c r="C38" s="550">
        <v>0</v>
      </c>
      <c r="D38" s="551">
        <v>0</v>
      </c>
      <c r="E38" s="551">
        <v>0</v>
      </c>
      <c r="F38" s="551">
        <v>0</v>
      </c>
      <c r="G38" s="551">
        <v>0</v>
      </c>
      <c r="H38" s="687"/>
      <c r="I38" s="407" t="s">
        <v>386</v>
      </c>
    </row>
    <row r="39" spans="1:9" ht="31.9" customHeight="1">
      <c r="A39" s="398">
        <f t="shared" si="2"/>
        <v>18</v>
      </c>
      <c r="B39" s="333" t="s">
        <v>284</v>
      </c>
      <c r="C39" s="550">
        <v>0</v>
      </c>
      <c r="D39" s="551">
        <v>0</v>
      </c>
      <c r="E39" s="551">
        <v>0</v>
      </c>
      <c r="F39" s="551">
        <v>0</v>
      </c>
      <c r="G39" s="551">
        <v>0</v>
      </c>
      <c r="H39" s="687"/>
      <c r="I39" s="407" t="s">
        <v>285</v>
      </c>
    </row>
    <row r="40" spans="1:9" ht="37.15" customHeight="1">
      <c r="A40" s="398">
        <f t="shared" si="2"/>
        <v>19</v>
      </c>
      <c r="B40" s="333" t="s">
        <v>286</v>
      </c>
      <c r="C40" s="550">
        <v>0</v>
      </c>
      <c r="D40" s="551">
        <v>0</v>
      </c>
      <c r="E40" s="551">
        <v>0</v>
      </c>
      <c r="F40" s="551">
        <v>0</v>
      </c>
      <c r="G40" s="551">
        <v>0</v>
      </c>
      <c r="H40" s="687"/>
      <c r="I40" s="407" t="s">
        <v>287</v>
      </c>
    </row>
    <row r="41" spans="1:9" ht="24.6" customHeight="1">
      <c r="A41" s="398">
        <f t="shared" si="2"/>
        <v>20</v>
      </c>
      <c r="B41" s="333" t="s">
        <v>288</v>
      </c>
      <c r="C41" s="550">
        <v>0</v>
      </c>
      <c r="D41" s="551">
        <v>0</v>
      </c>
      <c r="E41" s="551">
        <v>0</v>
      </c>
      <c r="F41" s="551">
        <v>0</v>
      </c>
      <c r="G41" s="551">
        <v>0</v>
      </c>
      <c r="H41" s="687"/>
      <c r="I41" s="407" t="s">
        <v>289</v>
      </c>
    </row>
    <row r="42" spans="1:9" ht="24.6" customHeight="1">
      <c r="A42" s="398">
        <f t="shared" si="2"/>
        <v>21</v>
      </c>
      <c r="B42" s="333" t="s">
        <v>290</v>
      </c>
      <c r="C42" s="550">
        <v>0</v>
      </c>
      <c r="D42" s="551">
        <v>0</v>
      </c>
      <c r="E42" s="551">
        <v>0</v>
      </c>
      <c r="F42" s="551">
        <v>0</v>
      </c>
      <c r="G42" s="551">
        <v>0</v>
      </c>
      <c r="H42" s="687"/>
      <c r="I42" s="407" t="s">
        <v>291</v>
      </c>
    </row>
    <row r="43" spans="1:9" ht="39.6" customHeight="1">
      <c r="A43" s="398">
        <f t="shared" si="2"/>
        <v>22</v>
      </c>
      <c r="B43" s="333" t="s">
        <v>292</v>
      </c>
      <c r="C43" s="550">
        <v>0</v>
      </c>
      <c r="D43" s="551">
        <v>0</v>
      </c>
      <c r="E43" s="551">
        <v>0</v>
      </c>
      <c r="F43" s="551">
        <v>0</v>
      </c>
      <c r="G43" s="551">
        <v>0</v>
      </c>
      <c r="H43" s="687"/>
      <c r="I43" s="407" t="s">
        <v>291</v>
      </c>
    </row>
    <row r="44" spans="1:9" ht="27" customHeight="1">
      <c r="A44" s="398">
        <f>+A43+1</f>
        <v>23</v>
      </c>
      <c r="B44" s="333" t="s">
        <v>294</v>
      </c>
      <c r="C44" s="552">
        <v>0</v>
      </c>
      <c r="D44" s="551">
        <v>0</v>
      </c>
      <c r="E44" s="551">
        <v>0</v>
      </c>
      <c r="F44" s="551">
        <v>0</v>
      </c>
      <c r="G44" s="551">
        <v>0</v>
      </c>
      <c r="H44" s="687"/>
      <c r="I44" s="335" t="s">
        <v>295</v>
      </c>
    </row>
    <row r="45" spans="1:9" ht="15.75">
      <c r="A45" s="398">
        <f t="shared" si="2"/>
        <v>24</v>
      </c>
      <c r="B45" s="334" t="s">
        <v>296</v>
      </c>
      <c r="C45" s="553">
        <f t="shared" ref="C45:G45" si="3">SUM(C33:C44)</f>
        <v>0</v>
      </c>
      <c r="D45" s="553">
        <f t="shared" si="3"/>
        <v>0</v>
      </c>
      <c r="E45" s="553">
        <f t="shared" si="3"/>
        <v>0</v>
      </c>
      <c r="F45" s="553">
        <f t="shared" si="3"/>
        <v>0</v>
      </c>
      <c r="G45" s="553">
        <f t="shared" si="3"/>
        <v>0</v>
      </c>
      <c r="H45" s="553"/>
      <c r="I45" s="161"/>
    </row>
    <row r="46" spans="1:9" ht="31.5">
      <c r="A46" s="398">
        <f t="shared" si="2"/>
        <v>25</v>
      </c>
      <c r="B46" s="464" t="s">
        <v>297</v>
      </c>
      <c r="C46" s="554">
        <f>SUM(D46:H46)</f>
        <v>0</v>
      </c>
      <c r="D46" s="554">
        <f>D36</f>
        <v>0</v>
      </c>
      <c r="E46" s="555">
        <f>+E36</f>
        <v>0</v>
      </c>
      <c r="F46" s="556">
        <f>F36</f>
        <v>0</v>
      </c>
      <c r="G46" s="556">
        <f>+G36</f>
        <v>0</v>
      </c>
      <c r="H46" s="556"/>
      <c r="I46" s="167" t="str">
        <f>+'1A - ADIT'!I44</f>
        <v>All FAS 109 items excluded from formula rate</v>
      </c>
    </row>
    <row r="47" spans="1:9" ht="16.5" thickBot="1">
      <c r="A47" s="398">
        <f>+A46+1</f>
        <v>26</v>
      </c>
      <c r="B47" s="330" t="s">
        <v>67</v>
      </c>
      <c r="C47" s="557">
        <f>+C45-C46</f>
        <v>0</v>
      </c>
      <c r="D47" s="557">
        <f t="shared" ref="D47:G47" si="4">+D45-D46</f>
        <v>0</v>
      </c>
      <c r="E47" s="557">
        <f t="shared" si="4"/>
        <v>0</v>
      </c>
      <c r="F47" s="557">
        <f t="shared" si="4"/>
        <v>0</v>
      </c>
      <c r="G47" s="557">
        <f t="shared" si="4"/>
        <v>0</v>
      </c>
      <c r="H47" s="557"/>
      <c r="I47" s="329"/>
    </row>
    <row r="48" spans="1:9" ht="15.75">
      <c r="A48" s="398"/>
      <c r="B48" s="58"/>
      <c r="C48" s="402"/>
      <c r="D48" s="403"/>
      <c r="E48" s="403"/>
      <c r="F48" s="403"/>
      <c r="G48" s="403"/>
      <c r="H48" s="403"/>
      <c r="I48" s="399"/>
    </row>
    <row r="49" spans="1:9" ht="15">
      <c r="B49" s="45" t="s">
        <v>299</v>
      </c>
      <c r="C49" s="45"/>
      <c r="D49" s="156"/>
      <c r="E49" s="467"/>
      <c r="F49" s="59"/>
      <c r="G49" s="45"/>
      <c r="H49" s="45"/>
      <c r="I49" s="468"/>
    </row>
    <row r="50" spans="1:9" ht="15">
      <c r="B50" s="890" t="s">
        <v>391</v>
      </c>
      <c r="C50" s="890"/>
      <c r="D50" s="890"/>
      <c r="E50" s="890"/>
      <c r="F50" s="890"/>
      <c r="G50" s="890"/>
      <c r="H50" s="890"/>
      <c r="I50" s="890"/>
    </row>
    <row r="51" spans="1:9" ht="15">
      <c r="B51" s="154" t="s">
        <v>301</v>
      </c>
      <c r="C51" s="45"/>
      <c r="D51" s="45"/>
      <c r="E51" s="45"/>
      <c r="F51" s="45"/>
      <c r="G51" s="59"/>
      <c r="H51" s="59"/>
      <c r="I51" s="59"/>
    </row>
    <row r="52" spans="1:9" ht="15">
      <c r="B52" s="154" t="s">
        <v>313</v>
      </c>
      <c r="C52" s="45"/>
      <c r="D52" s="45"/>
      <c r="E52" s="45"/>
      <c r="F52" s="45"/>
      <c r="G52" s="59"/>
      <c r="H52" s="59"/>
      <c r="I52" s="59"/>
    </row>
    <row r="53" spans="1:9" ht="15">
      <c r="B53" s="154" t="s">
        <v>392</v>
      </c>
      <c r="C53" s="45"/>
      <c r="D53" s="45"/>
      <c r="E53" s="45"/>
      <c r="F53" s="45"/>
      <c r="G53" s="59"/>
      <c r="H53" s="59"/>
      <c r="I53" s="59"/>
    </row>
    <row r="54" spans="1:9" ht="15" customHeight="1">
      <c r="B54" s="890" t="s">
        <v>304</v>
      </c>
      <c r="C54" s="890"/>
      <c r="D54" s="890"/>
      <c r="E54" s="890"/>
      <c r="F54" s="890"/>
      <c r="G54" s="890"/>
      <c r="H54" s="890"/>
      <c r="I54" s="890"/>
    </row>
    <row r="55" spans="1:9" ht="15">
      <c r="B55" s="154" t="s">
        <v>305</v>
      </c>
      <c r="C55" s="59"/>
      <c r="D55" s="469"/>
      <c r="E55" s="59"/>
      <c r="F55" s="59"/>
      <c r="G55" s="59"/>
      <c r="H55" s="59"/>
      <c r="I55" s="445"/>
    </row>
    <row r="56" spans="1:9" ht="15.75">
      <c r="B56" s="399"/>
      <c r="C56" s="399"/>
      <c r="D56" s="399"/>
      <c r="E56" s="399"/>
      <c r="F56" s="399"/>
      <c r="G56" s="399"/>
      <c r="H56" s="399"/>
      <c r="I56" s="399"/>
    </row>
    <row r="57" spans="1:9" ht="18">
      <c r="A57" s="151"/>
      <c r="B57" s="891" t="str">
        <f>+B3</f>
        <v>Dayton Power and Light</v>
      </c>
      <c r="C57" s="892"/>
      <c r="D57" s="892"/>
      <c r="E57" s="892"/>
      <c r="F57" s="892"/>
      <c r="G57" s="892"/>
      <c r="H57" s="892"/>
      <c r="I57" s="892"/>
    </row>
    <row r="58" spans="1:9" ht="18">
      <c r="A58" s="151"/>
      <c r="B58" s="891" t="str">
        <f>+B4</f>
        <v xml:space="preserve">ATTACHMENT H-15A </v>
      </c>
      <c r="C58" s="891"/>
      <c r="D58" s="891"/>
      <c r="E58" s="891"/>
      <c r="F58" s="891"/>
      <c r="G58" s="891"/>
      <c r="H58" s="891"/>
      <c r="I58" s="891"/>
    </row>
    <row r="59" spans="1:9" ht="18">
      <c r="A59" s="151"/>
      <c r="B59" s="891" t="str">
        <f>+B5</f>
        <v xml:space="preserve">Attachment 1D - Accumulated Deferred Income Taxes for Annual True-up - December 31, </v>
      </c>
      <c r="C59" s="891"/>
      <c r="D59" s="891"/>
      <c r="E59" s="891"/>
      <c r="F59" s="891"/>
      <c r="G59" s="891"/>
      <c r="H59" s="891"/>
      <c r="I59" s="891"/>
    </row>
    <row r="60" spans="1:9" ht="18">
      <c r="A60" s="45"/>
      <c r="B60" s="153"/>
      <c r="C60" s="45"/>
      <c r="D60" s="45"/>
      <c r="E60" s="45"/>
      <c r="F60" s="45"/>
      <c r="G60" s="45"/>
      <c r="H60" s="45"/>
      <c r="I60" s="627"/>
    </row>
    <row r="61" spans="1:9" ht="18">
      <c r="A61" s="45"/>
      <c r="B61" s="159" t="s">
        <v>207</v>
      </c>
      <c r="C61" s="159" t="s">
        <v>209</v>
      </c>
      <c r="D61" s="159" t="s">
        <v>211</v>
      </c>
      <c r="E61" s="159" t="s">
        <v>213</v>
      </c>
      <c r="F61" s="159" t="s">
        <v>215</v>
      </c>
      <c r="G61" s="159" t="s">
        <v>217</v>
      </c>
      <c r="H61" s="159"/>
      <c r="I61" s="628"/>
    </row>
    <row r="62" spans="1:9" ht="18">
      <c r="A62" s="45"/>
      <c r="B62" s="45"/>
      <c r="C62" s="153" t="s">
        <v>306</v>
      </c>
      <c r="D62" s="153"/>
      <c r="E62" s="153"/>
      <c r="F62" s="153"/>
      <c r="G62" s="153"/>
      <c r="H62" s="153"/>
      <c r="I62" s="628"/>
    </row>
    <row r="63" spans="1:9" ht="15.75">
      <c r="A63" s="45"/>
      <c r="B63" s="155" t="s">
        <v>307</v>
      </c>
      <c r="C63" s="153"/>
      <c r="D63" s="153"/>
      <c r="E63" s="153" t="s">
        <v>56</v>
      </c>
      <c r="F63" s="153" t="s">
        <v>255</v>
      </c>
      <c r="G63" s="153" t="s">
        <v>256</v>
      </c>
      <c r="H63" s="153"/>
      <c r="I63" s="159" t="s">
        <v>219</v>
      </c>
    </row>
    <row r="64" spans="1:9" ht="15.75" thickBot="1">
      <c r="A64" s="45"/>
      <c r="B64" s="154"/>
      <c r="C64" s="153"/>
      <c r="D64" s="153" t="s">
        <v>271</v>
      </c>
      <c r="E64" s="153" t="s">
        <v>257</v>
      </c>
      <c r="F64" s="153" t="s">
        <v>257</v>
      </c>
      <c r="G64" s="153" t="s">
        <v>257</v>
      </c>
      <c r="H64" s="446"/>
      <c r="I64" s="153" t="s">
        <v>272</v>
      </c>
    </row>
    <row r="65" spans="1:9" ht="30">
      <c r="A65" s="45">
        <f>+A47+1</f>
        <v>27</v>
      </c>
      <c r="B65" s="332" t="s">
        <v>308</v>
      </c>
      <c r="C65" s="558">
        <v>0</v>
      </c>
      <c r="D65" s="559">
        <v>0</v>
      </c>
      <c r="E65" s="560">
        <v>0</v>
      </c>
      <c r="F65" s="560">
        <v>0</v>
      </c>
      <c r="G65" s="560">
        <v>0</v>
      </c>
      <c r="H65" s="688"/>
      <c r="I65" s="505" t="str">
        <f>+'1C - ADIT Prior Year'!I59</f>
        <v>Tax and book differences resulting from accelerated tax depreciation .  Included in prorated amount</v>
      </c>
    </row>
    <row r="66" spans="1:9" ht="30">
      <c r="A66" s="45">
        <f>+A65+1</f>
        <v>28</v>
      </c>
      <c r="B66" s="333" t="s">
        <v>309</v>
      </c>
      <c r="C66" s="551">
        <v>0</v>
      </c>
      <c r="D66" s="561">
        <v>0</v>
      </c>
      <c r="E66" s="561">
        <v>0</v>
      </c>
      <c r="F66" s="561">
        <v>0</v>
      </c>
      <c r="G66" s="561">
        <v>0</v>
      </c>
      <c r="H66" s="687"/>
      <c r="I66" s="339" t="s">
        <v>310</v>
      </c>
    </row>
    <row r="67" spans="1:9" ht="16.5" thickBot="1">
      <c r="A67" s="45">
        <f>+A66+1</f>
        <v>29</v>
      </c>
      <c r="B67" s="330" t="s">
        <v>67</v>
      </c>
      <c r="C67" s="557">
        <f>+SUM(C65:C66)</f>
        <v>0</v>
      </c>
      <c r="D67" s="557">
        <f t="shared" ref="D67:G67" si="5">+SUM(D65:D66)</f>
        <v>0</v>
      </c>
      <c r="E67" s="557">
        <f t="shared" si="5"/>
        <v>0</v>
      </c>
      <c r="F67" s="557">
        <f t="shared" si="5"/>
        <v>0</v>
      </c>
      <c r="G67" s="557">
        <f t="shared" si="5"/>
        <v>0</v>
      </c>
      <c r="H67" s="557"/>
      <c r="I67" s="329"/>
    </row>
    <row r="68" spans="1:9" ht="15">
      <c r="A68" s="45"/>
      <c r="B68" s="45" t="s">
        <v>311</v>
      </c>
      <c r="C68" s="45"/>
      <c r="D68" s="45"/>
      <c r="E68" s="59"/>
      <c r="F68" s="467"/>
      <c r="G68" s="45"/>
      <c r="H68" s="45"/>
      <c r="I68" s="445"/>
    </row>
    <row r="69" spans="1:9" ht="15">
      <c r="A69" s="45"/>
      <c r="B69" s="154" t="s">
        <v>312</v>
      </c>
      <c r="C69" s="45"/>
      <c r="D69" s="45"/>
      <c r="E69" s="45"/>
      <c r="F69" s="45"/>
      <c r="G69" s="59"/>
      <c r="H69" s="59"/>
      <c r="I69" s="59"/>
    </row>
    <row r="70" spans="1:9" ht="15">
      <c r="A70" s="45"/>
      <c r="B70" s="154" t="s">
        <v>301</v>
      </c>
      <c r="C70" s="45"/>
      <c r="D70" s="45"/>
      <c r="E70" s="45"/>
      <c r="F70" s="45"/>
      <c r="G70" s="59"/>
      <c r="H70" s="59"/>
      <c r="I70" s="59"/>
    </row>
    <row r="71" spans="1:9" ht="15">
      <c r="A71" s="45"/>
      <c r="B71" s="154" t="s">
        <v>313</v>
      </c>
      <c r="C71" s="45"/>
      <c r="D71" s="45"/>
      <c r="E71" s="45"/>
      <c r="F71" s="45"/>
      <c r="G71" s="59"/>
      <c r="H71" s="59"/>
      <c r="I71" s="59"/>
    </row>
    <row r="72" spans="1:9" ht="15">
      <c r="A72" s="45"/>
      <c r="B72" s="154" t="s">
        <v>314</v>
      </c>
      <c r="C72" s="45"/>
      <c r="D72" s="45"/>
      <c r="E72" s="45"/>
      <c r="F72" s="45"/>
      <c r="G72" s="59"/>
      <c r="H72" s="59"/>
      <c r="I72" s="59"/>
    </row>
    <row r="73" spans="1:9" ht="15">
      <c r="A73" s="45"/>
      <c r="B73" s="890" t="s">
        <v>304</v>
      </c>
      <c r="C73" s="890"/>
      <c r="D73" s="890"/>
      <c r="E73" s="890"/>
      <c r="F73" s="890"/>
      <c r="G73" s="890"/>
      <c r="H73" s="890"/>
      <c r="I73" s="890"/>
    </row>
    <row r="74" spans="1:9" ht="15">
      <c r="A74" s="45"/>
      <c r="B74" s="154" t="s">
        <v>305</v>
      </c>
      <c r="C74" s="59"/>
      <c r="D74" s="469"/>
      <c r="E74" s="59"/>
      <c r="F74" s="59"/>
      <c r="G74" s="59"/>
      <c r="H74" s="59"/>
      <c r="I74" s="445"/>
    </row>
    <row r="75" spans="1:9" ht="15.75">
      <c r="A75" s="45"/>
      <c r="B75" s="393"/>
      <c r="C75" s="45"/>
      <c r="D75" s="45"/>
      <c r="E75" s="45"/>
      <c r="F75" s="59"/>
      <c r="G75" s="59"/>
      <c r="H75" s="59"/>
      <c r="I75" s="445"/>
    </row>
    <row r="76" spans="1:9" ht="15">
      <c r="A76" s="45"/>
      <c r="B76" s="154"/>
      <c r="C76" s="45"/>
      <c r="D76" s="45"/>
      <c r="E76" s="45"/>
      <c r="F76" s="59"/>
      <c r="G76" s="59"/>
      <c r="H76" s="59"/>
      <c r="I76" s="445"/>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91" t="str">
        <f>+'Appendix A'!A4</f>
        <v xml:space="preserve">ATTACHMENT H-15A </v>
      </c>
      <c r="C79" s="891"/>
      <c r="D79" s="891"/>
      <c r="E79" s="891"/>
      <c r="F79" s="891"/>
      <c r="G79" s="891"/>
      <c r="H79" s="891"/>
      <c r="I79" s="891"/>
    </row>
    <row r="80" spans="1:9" ht="18">
      <c r="B80" s="891" t="str">
        <f>+B5</f>
        <v xml:space="preserve">Attachment 1D - Accumulated Deferred Income Taxes for Annual True-up - December 31, </v>
      </c>
      <c r="C80" s="891"/>
      <c r="D80" s="891"/>
      <c r="E80" s="891"/>
      <c r="F80" s="891"/>
      <c r="G80" s="891"/>
      <c r="H80" s="891"/>
      <c r="I80" s="891"/>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5"/>
    </row>
    <row r="84" spans="1:9" ht="15.75">
      <c r="B84" s="159" t="s">
        <v>207</v>
      </c>
      <c r="C84" s="159" t="s">
        <v>209</v>
      </c>
      <c r="D84" s="159" t="s">
        <v>211</v>
      </c>
      <c r="E84" s="159" t="s">
        <v>213</v>
      </c>
      <c r="F84" s="159" t="s">
        <v>215</v>
      </c>
      <c r="G84" s="159" t="s">
        <v>217</v>
      </c>
      <c r="H84" s="159"/>
      <c r="I84" s="159" t="s">
        <v>219</v>
      </c>
    </row>
    <row r="85" spans="1:9" ht="31.5">
      <c r="B85" s="155" t="s">
        <v>315</v>
      </c>
      <c r="C85" s="153" t="s">
        <v>67</v>
      </c>
      <c r="D85" s="165" t="s">
        <v>271</v>
      </c>
      <c r="E85" s="165" t="s">
        <v>401</v>
      </c>
      <c r="F85" s="165" t="s">
        <v>255</v>
      </c>
      <c r="G85" s="165" t="s">
        <v>256</v>
      </c>
      <c r="H85" s="153"/>
      <c r="I85" s="153" t="s">
        <v>272</v>
      </c>
    </row>
    <row r="86" spans="1:9" ht="15.75" thickBot="1">
      <c r="B86" s="154"/>
      <c r="C86" s="153"/>
      <c r="D86" s="153"/>
      <c r="E86" s="153"/>
      <c r="F86" s="153"/>
      <c r="G86" s="153"/>
      <c r="H86" s="446"/>
      <c r="I86" s="45"/>
    </row>
    <row r="87" spans="1:9" ht="15">
      <c r="A87" s="398">
        <f>+A47+1</f>
        <v>27</v>
      </c>
      <c r="B87" s="332" t="s">
        <v>316</v>
      </c>
      <c r="C87" s="549">
        <v>0</v>
      </c>
      <c r="D87" s="549">
        <v>0</v>
      </c>
      <c r="E87" s="549">
        <v>0</v>
      </c>
      <c r="F87" s="549">
        <v>0</v>
      </c>
      <c r="G87" s="549">
        <v>0</v>
      </c>
      <c r="H87" s="688"/>
      <c r="I87" s="651" t="s">
        <v>317</v>
      </c>
    </row>
    <row r="88" spans="1:9" ht="30">
      <c r="A88" s="398">
        <f>+A87+1</f>
        <v>28</v>
      </c>
      <c r="B88" s="333" t="s">
        <v>318</v>
      </c>
      <c r="C88" s="551">
        <v>0</v>
      </c>
      <c r="D88" s="551">
        <v>0</v>
      </c>
      <c r="E88" s="551">
        <v>0</v>
      </c>
      <c r="F88" s="551">
        <f>+C88</f>
        <v>0</v>
      </c>
      <c r="G88" s="551">
        <v>0</v>
      </c>
      <c r="H88" s="687"/>
      <c r="I88" s="408" t="s">
        <v>319</v>
      </c>
    </row>
    <row r="89" spans="1:9" ht="30">
      <c r="A89" s="398">
        <f t="shared" ref="A89:A97" si="6">+A88+1</f>
        <v>29</v>
      </c>
      <c r="B89" s="333" t="s">
        <v>320</v>
      </c>
      <c r="C89" s="551">
        <v>0</v>
      </c>
      <c r="D89" s="551">
        <f>+C89</f>
        <v>0</v>
      </c>
      <c r="E89" s="551">
        <v>0</v>
      </c>
      <c r="F89" s="551">
        <v>0</v>
      </c>
      <c r="G89" s="551">
        <v>0</v>
      </c>
      <c r="H89" s="687"/>
      <c r="I89" s="408" t="s">
        <v>321</v>
      </c>
    </row>
    <row r="90" spans="1:9" ht="37.5" customHeight="1">
      <c r="A90" s="398">
        <f t="shared" si="6"/>
        <v>30</v>
      </c>
      <c r="B90" s="333" t="s">
        <v>322</v>
      </c>
      <c r="C90" s="551">
        <v>0</v>
      </c>
      <c r="D90" s="551">
        <f>+C90</f>
        <v>0</v>
      </c>
      <c r="E90" s="551">
        <v>0</v>
      </c>
      <c r="F90" s="551">
        <v>0</v>
      </c>
      <c r="G90" s="551">
        <v>0</v>
      </c>
      <c r="H90" s="687"/>
      <c r="I90" s="408" t="s">
        <v>323</v>
      </c>
    </row>
    <row r="91" spans="1:9" ht="15">
      <c r="A91" s="398">
        <f t="shared" si="6"/>
        <v>31</v>
      </c>
      <c r="B91" s="333" t="s">
        <v>324</v>
      </c>
      <c r="C91" s="551">
        <v>0</v>
      </c>
      <c r="D91" s="551">
        <v>0</v>
      </c>
      <c r="E91" s="551">
        <v>0</v>
      </c>
      <c r="F91" s="551">
        <f>+C91</f>
        <v>0</v>
      </c>
      <c r="G91" s="551">
        <v>0</v>
      </c>
      <c r="H91" s="687"/>
      <c r="I91" s="404" t="s">
        <v>279</v>
      </c>
    </row>
    <row r="92" spans="1:9" ht="15">
      <c r="A92" s="398">
        <f t="shared" si="6"/>
        <v>32</v>
      </c>
      <c r="B92" s="333" t="s">
        <v>325</v>
      </c>
      <c r="C92" s="551">
        <v>0</v>
      </c>
      <c r="D92" s="551">
        <v>0</v>
      </c>
      <c r="E92" s="551">
        <v>0</v>
      </c>
      <c r="F92" s="551">
        <v>0</v>
      </c>
      <c r="G92" s="551">
        <f>+C92</f>
        <v>0</v>
      </c>
      <c r="H92" s="687"/>
      <c r="I92" s="408" t="s">
        <v>326</v>
      </c>
    </row>
    <row r="93" spans="1:9" ht="15.75" thickBot="1">
      <c r="A93" s="398">
        <f t="shared" si="6"/>
        <v>33</v>
      </c>
      <c r="B93" s="333" t="s">
        <v>294</v>
      </c>
      <c r="C93" s="551">
        <v>0</v>
      </c>
      <c r="D93" s="551">
        <f>+C93</f>
        <v>0</v>
      </c>
      <c r="E93" s="551">
        <v>0</v>
      </c>
      <c r="F93" s="551">
        <v>0</v>
      </c>
      <c r="G93" s="551">
        <v>0</v>
      </c>
      <c r="H93" s="687"/>
      <c r="I93" s="408"/>
    </row>
    <row r="94" spans="1:9" ht="15.75">
      <c r="A94" s="398">
        <f t="shared" si="6"/>
        <v>34</v>
      </c>
      <c r="B94" s="174" t="s">
        <v>328</v>
      </c>
      <c r="C94" s="562">
        <f t="shared" ref="C94:G94" si="7">SUM(C87:C93)</f>
        <v>0</v>
      </c>
      <c r="D94" s="562">
        <f>SUM(D87:D93)</f>
        <v>0</v>
      </c>
      <c r="E94" s="562">
        <f t="shared" si="7"/>
        <v>0</v>
      </c>
      <c r="F94" s="562">
        <f>SUM(F87:F93)</f>
        <v>0</v>
      </c>
      <c r="G94" s="562">
        <f t="shared" si="7"/>
        <v>0</v>
      </c>
      <c r="H94" s="562"/>
      <c r="I94" s="175"/>
    </row>
    <row r="95" spans="1:9" ht="31.5">
      <c r="A95" s="398">
        <f t="shared" si="6"/>
        <v>35</v>
      </c>
      <c r="B95" s="465" t="s">
        <v>329</v>
      </c>
      <c r="C95" s="554">
        <f>+C91</f>
        <v>0</v>
      </c>
      <c r="D95" s="554">
        <f t="shared" ref="D95:G95" si="8">+D91</f>
        <v>0</v>
      </c>
      <c r="E95" s="554">
        <f t="shared" si="8"/>
        <v>0</v>
      </c>
      <c r="F95" s="554">
        <f t="shared" si="8"/>
        <v>0</v>
      </c>
      <c r="G95" s="554">
        <f t="shared" si="8"/>
        <v>0</v>
      </c>
      <c r="H95" s="567"/>
      <c r="I95" s="167"/>
    </row>
    <row r="96" spans="1:9" ht="31.5">
      <c r="A96" s="398">
        <f t="shared" si="6"/>
        <v>36</v>
      </c>
      <c r="B96" s="466" t="s">
        <v>330</v>
      </c>
      <c r="C96" s="563">
        <f>+C88</f>
        <v>0</v>
      </c>
      <c r="D96" s="563">
        <f>+D88</f>
        <v>0</v>
      </c>
      <c r="E96" s="563">
        <f t="shared" ref="E96:G96" si="9">+E88</f>
        <v>0</v>
      </c>
      <c r="F96" s="563">
        <f t="shared" si="9"/>
        <v>0</v>
      </c>
      <c r="G96" s="563">
        <f t="shared" si="9"/>
        <v>0</v>
      </c>
      <c r="H96" s="568"/>
      <c r="I96" s="395" t="s">
        <v>402</v>
      </c>
    </row>
    <row r="97" spans="1:9" ht="16.5" thickBot="1">
      <c r="A97" s="398">
        <f t="shared" si="6"/>
        <v>37</v>
      </c>
      <c r="B97" s="330" t="s">
        <v>67</v>
      </c>
      <c r="C97" s="557">
        <f>+C94-C95-C96</f>
        <v>0</v>
      </c>
      <c r="D97" s="557">
        <f t="shared" ref="D97:G97" si="10">+D94-D95-D96</f>
        <v>0</v>
      </c>
      <c r="E97" s="557">
        <f t="shared" si="10"/>
        <v>0</v>
      </c>
      <c r="F97" s="557">
        <f t="shared" si="10"/>
        <v>0</v>
      </c>
      <c r="G97" s="557">
        <f t="shared" si="10"/>
        <v>0</v>
      </c>
      <c r="H97" s="557"/>
      <c r="I97" s="329"/>
    </row>
    <row r="98" spans="1:9" ht="15">
      <c r="B98" s="154"/>
      <c r="C98" s="156"/>
      <c r="D98" s="156"/>
      <c r="E98" s="156"/>
      <c r="F98" s="156"/>
      <c r="G98" s="156"/>
      <c r="H98" s="156"/>
      <c r="I98" s="445"/>
    </row>
    <row r="99" spans="1:9" ht="15">
      <c r="B99" s="45" t="s">
        <v>332</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301</v>
      </c>
      <c r="C101" s="45"/>
      <c r="D101" s="45"/>
      <c r="E101" s="45"/>
      <c r="F101" s="45"/>
      <c r="G101" s="59"/>
      <c r="H101" s="59"/>
      <c r="I101" s="59"/>
    </row>
    <row r="102" spans="1:9" ht="15">
      <c r="B102" s="154" t="s">
        <v>313</v>
      </c>
      <c r="C102" s="45"/>
      <c r="D102" s="45"/>
      <c r="E102" s="45"/>
      <c r="F102" s="45"/>
      <c r="G102" s="59"/>
      <c r="H102" s="59"/>
      <c r="I102" s="59"/>
    </row>
    <row r="103" spans="1:9" ht="15">
      <c r="B103" s="154" t="s">
        <v>314</v>
      </c>
      <c r="C103" s="45"/>
      <c r="D103" s="45"/>
      <c r="E103" s="45"/>
      <c r="F103" s="45"/>
      <c r="G103" s="59"/>
      <c r="H103" s="59"/>
      <c r="I103" s="59"/>
    </row>
    <row r="104" spans="1:9" ht="15">
      <c r="B104" s="890" t="s">
        <v>304</v>
      </c>
      <c r="C104" s="890"/>
      <c r="D104" s="890"/>
      <c r="E104" s="890"/>
      <c r="F104" s="890"/>
      <c r="G104" s="890"/>
      <c r="H104" s="890"/>
      <c r="I104" s="890"/>
    </row>
    <row r="105" spans="1:9" ht="15">
      <c r="B105" s="154" t="s">
        <v>305</v>
      </c>
      <c r="C105" s="59"/>
      <c r="D105" s="469"/>
      <c r="E105" s="59"/>
      <c r="F105" s="59"/>
      <c r="G105" s="59"/>
      <c r="H105" s="59"/>
      <c r="I105" s="445"/>
    </row>
    <row r="106" spans="1:9" ht="15.75">
      <c r="B106" s="169"/>
      <c r="C106" s="170"/>
      <c r="D106" s="170"/>
      <c r="E106" s="170"/>
      <c r="F106" s="170"/>
      <c r="G106" s="170"/>
      <c r="H106" s="170"/>
      <c r="I106" s="170"/>
    </row>
    <row r="107" spans="1:9" ht="15.75">
      <c r="B107" s="889" t="s">
        <v>403</v>
      </c>
      <c r="C107" s="889"/>
      <c r="D107" s="889"/>
      <c r="E107" s="889"/>
      <c r="F107" s="889"/>
      <c r="G107" s="889"/>
      <c r="H107" s="889"/>
      <c r="I107" s="889"/>
    </row>
    <row r="108" spans="1:9" ht="15">
      <c r="B108" s="45" t="s">
        <v>404</v>
      </c>
      <c r="C108" s="45"/>
      <c r="D108" s="45"/>
      <c r="E108" s="45"/>
      <c r="F108" s="45"/>
      <c r="G108" s="45"/>
      <c r="H108" s="45"/>
      <c r="I108" s="45"/>
    </row>
    <row r="109" spans="1:9" ht="15">
      <c r="B109" s="45" t="s">
        <v>405</v>
      </c>
      <c r="C109" s="45"/>
      <c r="D109" s="45"/>
      <c r="E109" s="45"/>
      <c r="F109" s="45"/>
      <c r="G109" s="45"/>
      <c r="H109" s="45"/>
      <c r="I109" s="45"/>
    </row>
    <row r="110" spans="1:9" ht="15">
      <c r="B110" s="45" t="s">
        <v>406</v>
      </c>
      <c r="C110" s="45"/>
      <c r="D110" s="45"/>
      <c r="E110" s="45"/>
      <c r="F110" s="45"/>
      <c r="G110" s="45"/>
      <c r="H110" s="45"/>
      <c r="I110" s="45"/>
    </row>
    <row r="111" spans="1:9" ht="15.75">
      <c r="B111" s="45" t="s">
        <v>407</v>
      </c>
      <c r="C111" s="45"/>
      <c r="D111" s="171"/>
      <c r="E111" s="171"/>
      <c r="F111" s="171"/>
      <c r="G111" s="171"/>
      <c r="H111" s="171"/>
      <c r="I111" s="171"/>
    </row>
    <row r="112" spans="1:9" ht="15.75">
      <c r="B112" s="45" t="s">
        <v>408</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W52"/>
  <sheetViews>
    <sheetView zoomScale="70" zoomScaleNormal="70" workbookViewId="0">
      <selection activeCell="B5" sqref="B5:D5"/>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 min="20" max="20" width="19.85546875" customWidth="1"/>
    <col min="21" max="21" width="18.28515625" bestFit="1" customWidth="1"/>
    <col min="23" max="23" width="18.28515625" bestFit="1" customWidth="1"/>
  </cols>
  <sheetData>
    <row r="2" spans="1:17" ht="18">
      <c r="I2" s="771" t="str">
        <f>+'Appendix A'!A3</f>
        <v>Dayton Power and Light</v>
      </c>
    </row>
    <row r="3" spans="1:17" ht="18">
      <c r="I3" s="771" t="str">
        <f>+'Appendix A'!A4</f>
        <v xml:space="preserve">ATTACHMENT H-15A </v>
      </c>
    </row>
    <row r="4" spans="1:17" ht="18">
      <c r="I4" s="178" t="s">
        <v>409</v>
      </c>
      <c r="J4" s="178"/>
      <c r="K4" s="178"/>
      <c r="L4" s="178"/>
      <c r="M4" s="178"/>
      <c r="N4" s="178"/>
      <c r="O4" s="178"/>
    </row>
    <row r="5" spans="1:17" ht="18">
      <c r="B5" s="828" t="s">
        <v>1038</v>
      </c>
      <c r="C5" s="828"/>
      <c r="D5" s="828"/>
      <c r="I5" s="771" t="s">
        <v>410</v>
      </c>
      <c r="Q5" s="627"/>
    </row>
    <row r="6" spans="1:17">
      <c r="I6" s="354"/>
    </row>
    <row r="7" spans="1:17" ht="15">
      <c r="A7" s="45"/>
      <c r="B7" s="45" t="s">
        <v>411</v>
      </c>
      <c r="C7" s="45"/>
      <c r="D7" s="45"/>
      <c r="E7" s="45"/>
      <c r="F7" s="45"/>
      <c r="G7" s="45"/>
      <c r="H7" s="45"/>
      <c r="I7" s="45"/>
      <c r="J7" s="45"/>
      <c r="K7" s="45"/>
      <c r="L7" s="45"/>
      <c r="M7" s="45"/>
      <c r="N7" s="45"/>
      <c r="O7" s="45"/>
      <c r="P7" s="45"/>
      <c r="Q7" s="45"/>
    </row>
    <row r="8" spans="1:17" ht="15">
      <c r="A8" s="45"/>
      <c r="B8" s="45"/>
      <c r="C8" s="45"/>
      <c r="D8" s="45"/>
      <c r="E8" s="45"/>
      <c r="F8" s="45"/>
      <c r="G8" s="45"/>
      <c r="H8" s="45"/>
      <c r="I8" s="45"/>
      <c r="J8" s="45"/>
      <c r="K8" s="45"/>
      <c r="L8" s="45"/>
      <c r="M8" s="45"/>
      <c r="N8" s="45"/>
      <c r="O8" s="45"/>
      <c r="P8" s="45"/>
      <c r="Q8" s="45"/>
    </row>
    <row r="10" spans="1:17" ht="15.75">
      <c r="A10" s="412"/>
      <c r="B10" s="413" t="s">
        <v>412</v>
      </c>
      <c r="C10" s="412"/>
      <c r="D10" s="412"/>
      <c r="E10" s="412"/>
      <c r="F10" s="412"/>
      <c r="G10" s="412"/>
      <c r="H10" s="412"/>
      <c r="I10" s="412"/>
      <c r="J10" s="412"/>
      <c r="K10" s="412"/>
      <c r="L10" s="413"/>
      <c r="M10" s="412"/>
      <c r="N10" s="412"/>
      <c r="O10" s="412"/>
      <c r="P10" s="412"/>
      <c r="Q10" s="412"/>
    </row>
    <row r="11" spans="1:17" ht="15.75">
      <c r="A11" s="412"/>
      <c r="B11" s="896" t="s">
        <v>413</v>
      </c>
      <c r="C11" s="897"/>
      <c r="D11" s="897"/>
      <c r="E11" s="897"/>
      <c r="F11" s="898"/>
      <c r="G11" s="414"/>
      <c r="H11" s="899" t="s">
        <v>414</v>
      </c>
      <c r="I11" s="900"/>
      <c r="J11" s="901"/>
      <c r="K11" s="415"/>
      <c r="L11" s="902" t="s">
        <v>415</v>
      </c>
      <c r="M11" s="903"/>
      <c r="N11" s="903"/>
      <c r="O11" s="903"/>
      <c r="P11" s="903"/>
      <c r="Q11" s="903"/>
    </row>
    <row r="12" spans="1:17" ht="15.75">
      <c r="A12" s="412"/>
      <c r="B12" s="416" t="s">
        <v>207</v>
      </c>
      <c r="C12" s="416" t="s">
        <v>209</v>
      </c>
      <c r="D12" s="416" t="s">
        <v>211</v>
      </c>
      <c r="E12" s="416" t="s">
        <v>213</v>
      </c>
      <c r="F12" s="416" t="s">
        <v>215</v>
      </c>
      <c r="G12" s="414"/>
      <c r="H12" s="416" t="s">
        <v>217</v>
      </c>
      <c r="I12" s="416" t="s">
        <v>219</v>
      </c>
      <c r="J12" s="416" t="s">
        <v>221</v>
      </c>
      <c r="K12" s="417"/>
      <c r="L12" s="418" t="s">
        <v>223</v>
      </c>
      <c r="M12" s="418" t="s">
        <v>225</v>
      </c>
      <c r="N12" s="418" t="s">
        <v>227</v>
      </c>
      <c r="O12" s="418" t="s">
        <v>229</v>
      </c>
      <c r="P12" s="418" t="s">
        <v>231</v>
      </c>
      <c r="Q12" s="418" t="s">
        <v>233</v>
      </c>
    </row>
    <row r="13" spans="1:17" ht="150">
      <c r="A13" s="412"/>
      <c r="B13" s="419" t="s">
        <v>416</v>
      </c>
      <c r="C13" s="419" t="s">
        <v>356</v>
      </c>
      <c r="D13" s="419" t="s">
        <v>417</v>
      </c>
      <c r="E13" s="419" t="s">
        <v>418</v>
      </c>
      <c r="F13" s="419" t="s">
        <v>419</v>
      </c>
      <c r="G13" s="420"/>
      <c r="H13" s="419" t="s">
        <v>420</v>
      </c>
      <c r="I13" s="419" t="s">
        <v>421</v>
      </c>
      <c r="J13" s="419" t="s">
        <v>422</v>
      </c>
      <c r="K13" s="420"/>
      <c r="L13" s="421" t="s">
        <v>423</v>
      </c>
      <c r="M13" s="421" t="s">
        <v>424</v>
      </c>
      <c r="N13" s="421" t="s">
        <v>425</v>
      </c>
      <c r="O13" s="421" t="s">
        <v>426</v>
      </c>
      <c r="P13" s="421" t="s">
        <v>427</v>
      </c>
      <c r="Q13" s="421" t="s">
        <v>428</v>
      </c>
    </row>
    <row r="14" spans="1:17" ht="15">
      <c r="A14" s="412"/>
      <c r="B14" s="412"/>
      <c r="C14" s="420"/>
      <c r="D14" s="420"/>
      <c r="E14" s="420"/>
      <c r="F14" s="420"/>
      <c r="G14" s="420"/>
      <c r="H14" s="420"/>
      <c r="I14" s="420"/>
      <c r="J14" s="420"/>
      <c r="K14" s="420"/>
      <c r="L14" s="422"/>
      <c r="M14" s="422"/>
      <c r="N14" s="422"/>
      <c r="O14" s="422"/>
      <c r="P14" s="422"/>
      <c r="Q14" s="422"/>
    </row>
    <row r="15" spans="1:17" ht="15">
      <c r="A15" s="412">
        <v>1</v>
      </c>
      <c r="B15" s="423" t="s">
        <v>429</v>
      </c>
      <c r="C15" s="424"/>
      <c r="D15" s="410"/>
      <c r="E15" s="410"/>
      <c r="F15" s="410"/>
      <c r="G15" s="410"/>
      <c r="H15" s="570"/>
      <c r="I15" s="570"/>
      <c r="J15" s="571">
        <v>0</v>
      </c>
      <c r="K15" s="572"/>
      <c r="L15" s="573" t="str">
        <f>+B15</f>
        <v>December 31st balance (FF1 274.2.b)</v>
      </c>
      <c r="M15" s="574"/>
      <c r="N15" s="574"/>
      <c r="O15" s="574"/>
      <c r="P15" s="574"/>
      <c r="Q15" s="575">
        <f>+J15</f>
        <v>0</v>
      </c>
    </row>
    <row r="16" spans="1:17" ht="15">
      <c r="A16" s="412">
        <f t="shared" ref="A16:A28" si="0">+A15+1</f>
        <v>2</v>
      </c>
      <c r="B16" s="424" t="s">
        <v>370</v>
      </c>
      <c r="C16" s="409">
        <v>31</v>
      </c>
      <c r="D16" s="410">
        <f t="shared" ref="D16:D26" si="1">D17+C17</f>
        <v>335</v>
      </c>
      <c r="E16" s="410">
        <f>SUM(C16:C27)</f>
        <v>365</v>
      </c>
      <c r="F16" s="43">
        <f>335/365</f>
        <v>0.9178082191780822</v>
      </c>
      <c r="G16" s="410"/>
      <c r="H16" s="825">
        <v>0</v>
      </c>
      <c r="I16" s="570">
        <f>+H16*F16</f>
        <v>0</v>
      </c>
      <c r="J16" s="570">
        <f t="shared" ref="J16:J18" si="2">+I16+J15</f>
        <v>0</v>
      </c>
      <c r="K16" s="572"/>
      <c r="L16" s="576">
        <f>+N34</f>
        <v>0</v>
      </c>
      <c r="M16" s="574">
        <f>L16-H16</f>
        <v>0</v>
      </c>
      <c r="N16" s="575">
        <f>IF(AND(H16&gt;=0,L16&gt;=0),IF(M16&gt;=0,I16,L16/H16*I16),IF(AND(H16&lt;0,L16&lt;0),IF(M16&lt;0,I16,L16/H16*I16),0))</f>
        <v>0</v>
      </c>
      <c r="O16" s="575">
        <f>IF(AND(H16&gt;=0,L16&gt;=0),IF(M16&gt;=0,M16,0),IF(AND(H16&lt;0,L16&lt;0),IF(M16&lt;0,M16,0),0))</f>
        <v>0</v>
      </c>
      <c r="P16" s="575">
        <f>IF(AND(H16&gt;=0,L16&lt;0),L16,IF(AND(H16&lt;0,L16&gt;=0),L16,0))</f>
        <v>0</v>
      </c>
      <c r="Q16" s="575">
        <f>Q15+N16+(O16+P16)*0.5</f>
        <v>0</v>
      </c>
    </row>
    <row r="17" spans="1:23" ht="15">
      <c r="A17" s="412">
        <f t="shared" si="0"/>
        <v>3</v>
      </c>
      <c r="B17" s="424" t="s">
        <v>371</v>
      </c>
      <c r="C17" s="411">
        <v>28</v>
      </c>
      <c r="D17" s="410">
        <f t="shared" si="1"/>
        <v>307</v>
      </c>
      <c r="E17" s="410">
        <f>E16</f>
        <v>365</v>
      </c>
      <c r="F17" s="43">
        <f>307/365</f>
        <v>0.84109589041095889</v>
      </c>
      <c r="G17" s="410"/>
      <c r="H17" s="825">
        <v>0</v>
      </c>
      <c r="I17" s="570">
        <f t="shared" ref="I17:I27" si="3">+H17*F17</f>
        <v>0</v>
      </c>
      <c r="J17" s="570">
        <f t="shared" si="2"/>
        <v>0</v>
      </c>
      <c r="K17" s="572"/>
      <c r="L17" s="576">
        <f t="shared" ref="L17:L27" si="4">+N35</f>
        <v>0</v>
      </c>
      <c r="M17" s="574">
        <f>L17-H17</f>
        <v>0</v>
      </c>
      <c r="N17" s="575">
        <f t="shared" ref="N17:N27" si="5">IF(AND(H17&gt;=0,L17&gt;=0),IF(M17&gt;=0,I17,L17/H17*I17),IF(AND(H17&lt;0,L17&lt;0),IF(M17&lt;0,I17,L17/H17*I17),0))</f>
        <v>0</v>
      </c>
      <c r="O17" s="575">
        <f t="shared" ref="O17:O27" si="6">IF(AND(H17&gt;=0,L17&gt;=0),IF(M17&gt;=0,M17,0),IF(AND(H17&lt;0,L17&lt;0),IF(M17&lt;0,M17,0),0))</f>
        <v>0</v>
      </c>
      <c r="P17" s="575">
        <f t="shared" ref="P17:P27" si="7">IF(AND(H17&gt;=0,L17&lt;0),L17,IF(AND(H17&lt;0,L17&gt;=0),L17,0))</f>
        <v>0</v>
      </c>
      <c r="Q17" s="575">
        <f>Q16+N17+(O17+P17)*0.5</f>
        <v>0</v>
      </c>
    </row>
    <row r="18" spans="1:23" ht="15">
      <c r="A18" s="412">
        <f t="shared" si="0"/>
        <v>4</v>
      </c>
      <c r="B18" s="424" t="s">
        <v>372</v>
      </c>
      <c r="C18" s="409">
        <v>31</v>
      </c>
      <c r="D18" s="410">
        <f t="shared" si="1"/>
        <v>276</v>
      </c>
      <c r="E18" s="410">
        <f t="shared" ref="E18:E27" si="8">E17</f>
        <v>365</v>
      </c>
      <c r="F18" s="43">
        <f>276/365</f>
        <v>0.75616438356164384</v>
      </c>
      <c r="G18" s="410"/>
      <c r="H18" s="825">
        <v>0</v>
      </c>
      <c r="I18" s="570">
        <f t="shared" si="3"/>
        <v>0</v>
      </c>
      <c r="J18" s="570">
        <f t="shared" si="2"/>
        <v>0</v>
      </c>
      <c r="K18" s="572"/>
      <c r="L18" s="576">
        <f t="shared" si="4"/>
        <v>0</v>
      </c>
      <c r="M18" s="574">
        <f t="shared" ref="M18:M27" si="9">L18-H18</f>
        <v>0</v>
      </c>
      <c r="N18" s="575">
        <f t="shared" si="5"/>
        <v>0</v>
      </c>
      <c r="O18" s="575">
        <f t="shared" si="6"/>
        <v>0</v>
      </c>
      <c r="P18" s="575">
        <f t="shared" si="7"/>
        <v>0</v>
      </c>
      <c r="Q18" s="575">
        <f>Q17+N18+(O18+P18)*0.5</f>
        <v>0</v>
      </c>
    </row>
    <row r="19" spans="1:23" ht="15">
      <c r="A19" s="412">
        <f t="shared" si="0"/>
        <v>5</v>
      </c>
      <c r="B19" s="424" t="s">
        <v>373</v>
      </c>
      <c r="C19" s="409">
        <v>30</v>
      </c>
      <c r="D19" s="410">
        <f t="shared" si="1"/>
        <v>246</v>
      </c>
      <c r="E19" s="410">
        <f t="shared" si="8"/>
        <v>365</v>
      </c>
      <c r="F19" s="43">
        <f>246/365</f>
        <v>0.67397260273972603</v>
      </c>
      <c r="G19" s="410"/>
      <c r="H19" s="825">
        <v>0</v>
      </c>
      <c r="I19" s="570">
        <f t="shared" si="3"/>
        <v>0</v>
      </c>
      <c r="J19" s="570">
        <f>+I19+J18</f>
        <v>0</v>
      </c>
      <c r="K19" s="572"/>
      <c r="L19" s="576">
        <f>+N37</f>
        <v>0</v>
      </c>
      <c r="M19" s="574">
        <f t="shared" si="9"/>
        <v>0</v>
      </c>
      <c r="N19" s="575">
        <f t="shared" si="5"/>
        <v>0</v>
      </c>
      <c r="O19" s="575">
        <f t="shared" si="6"/>
        <v>0</v>
      </c>
      <c r="P19" s="575">
        <f t="shared" si="7"/>
        <v>0</v>
      </c>
      <c r="Q19" s="575">
        <f>Q18+N19+(O19+P19)*0.5</f>
        <v>0</v>
      </c>
    </row>
    <row r="20" spans="1:23" ht="15">
      <c r="A20" s="412">
        <f t="shared" si="0"/>
        <v>6</v>
      </c>
      <c r="B20" s="424" t="s">
        <v>374</v>
      </c>
      <c r="C20" s="409">
        <v>31</v>
      </c>
      <c r="D20" s="410">
        <f t="shared" si="1"/>
        <v>215</v>
      </c>
      <c r="E20" s="410">
        <f t="shared" si="8"/>
        <v>365</v>
      </c>
      <c r="F20" s="43">
        <f>215/365</f>
        <v>0.58904109589041098</v>
      </c>
      <c r="G20" s="410"/>
      <c r="H20" s="825">
        <v>0</v>
      </c>
      <c r="I20" s="570">
        <f t="shared" si="3"/>
        <v>0</v>
      </c>
      <c r="J20" s="570">
        <f t="shared" ref="J20:J27" si="10">+I20+J19</f>
        <v>0</v>
      </c>
      <c r="K20" s="572"/>
      <c r="L20" s="576">
        <f t="shared" si="4"/>
        <v>0</v>
      </c>
      <c r="M20" s="574">
        <f t="shared" si="9"/>
        <v>0</v>
      </c>
      <c r="N20" s="575">
        <f t="shared" si="5"/>
        <v>0</v>
      </c>
      <c r="O20" s="575">
        <f t="shared" si="6"/>
        <v>0</v>
      </c>
      <c r="P20" s="575">
        <f t="shared" si="7"/>
        <v>0</v>
      </c>
      <c r="Q20" s="575">
        <f t="shared" ref="Q20:Q26" si="11">Q19+N20+(O20+P20)*0.5</f>
        <v>0</v>
      </c>
    </row>
    <row r="21" spans="1:23" ht="15">
      <c r="A21" s="412">
        <f t="shared" si="0"/>
        <v>7</v>
      </c>
      <c r="B21" s="424" t="s">
        <v>375</v>
      </c>
      <c r="C21" s="409">
        <v>30</v>
      </c>
      <c r="D21" s="410">
        <f t="shared" si="1"/>
        <v>185</v>
      </c>
      <c r="E21" s="410">
        <f t="shared" si="8"/>
        <v>365</v>
      </c>
      <c r="F21" s="43">
        <f>185/365</f>
        <v>0.50684931506849318</v>
      </c>
      <c r="G21" s="410"/>
      <c r="H21" s="825">
        <v>0</v>
      </c>
      <c r="I21" s="570">
        <f t="shared" si="3"/>
        <v>0</v>
      </c>
      <c r="J21" s="570">
        <f t="shared" si="10"/>
        <v>0</v>
      </c>
      <c r="K21" s="572"/>
      <c r="L21" s="576">
        <f t="shared" si="4"/>
        <v>0</v>
      </c>
      <c r="M21" s="574">
        <f t="shared" si="9"/>
        <v>0</v>
      </c>
      <c r="N21" s="575">
        <f t="shared" si="5"/>
        <v>0</v>
      </c>
      <c r="O21" s="575">
        <f t="shared" si="6"/>
        <v>0</v>
      </c>
      <c r="P21" s="575">
        <f t="shared" si="7"/>
        <v>0</v>
      </c>
      <c r="Q21" s="575">
        <f t="shared" si="11"/>
        <v>0</v>
      </c>
    </row>
    <row r="22" spans="1:23" ht="15">
      <c r="A22" s="412">
        <f t="shared" si="0"/>
        <v>8</v>
      </c>
      <c r="B22" s="424" t="s">
        <v>376</v>
      </c>
      <c r="C22" s="409">
        <v>31</v>
      </c>
      <c r="D22" s="410">
        <f t="shared" si="1"/>
        <v>154</v>
      </c>
      <c r="E22" s="410">
        <f t="shared" si="8"/>
        <v>365</v>
      </c>
      <c r="F22" s="43">
        <f>154/365</f>
        <v>0.42191780821917807</v>
      </c>
      <c r="G22" s="410"/>
      <c r="H22" s="825">
        <v>0</v>
      </c>
      <c r="I22" s="570">
        <f t="shared" si="3"/>
        <v>0</v>
      </c>
      <c r="J22" s="570">
        <f t="shared" si="10"/>
        <v>0</v>
      </c>
      <c r="K22" s="572"/>
      <c r="L22" s="576">
        <f t="shared" si="4"/>
        <v>0</v>
      </c>
      <c r="M22" s="574">
        <f t="shared" si="9"/>
        <v>0</v>
      </c>
      <c r="N22" s="575">
        <f t="shared" si="5"/>
        <v>0</v>
      </c>
      <c r="O22" s="575">
        <f t="shared" si="6"/>
        <v>0</v>
      </c>
      <c r="P22" s="575">
        <f t="shared" si="7"/>
        <v>0</v>
      </c>
      <c r="Q22" s="575">
        <f t="shared" si="11"/>
        <v>0</v>
      </c>
    </row>
    <row r="23" spans="1:23" ht="15">
      <c r="A23" s="412">
        <f t="shared" si="0"/>
        <v>9</v>
      </c>
      <c r="B23" s="424" t="s">
        <v>377</v>
      </c>
      <c r="C23" s="409">
        <v>31</v>
      </c>
      <c r="D23" s="410">
        <f t="shared" si="1"/>
        <v>123</v>
      </c>
      <c r="E23" s="410">
        <f t="shared" si="8"/>
        <v>365</v>
      </c>
      <c r="F23" s="43">
        <f>123/365</f>
        <v>0.33698630136986302</v>
      </c>
      <c r="G23" s="410"/>
      <c r="H23" s="825">
        <v>0</v>
      </c>
      <c r="I23" s="570">
        <f t="shared" si="3"/>
        <v>0</v>
      </c>
      <c r="J23" s="570">
        <f t="shared" si="10"/>
        <v>0</v>
      </c>
      <c r="K23" s="572"/>
      <c r="L23" s="576">
        <f t="shared" si="4"/>
        <v>0</v>
      </c>
      <c r="M23" s="574">
        <f t="shared" si="9"/>
        <v>0</v>
      </c>
      <c r="N23" s="575">
        <f t="shared" si="5"/>
        <v>0</v>
      </c>
      <c r="O23" s="575">
        <f t="shared" si="6"/>
        <v>0</v>
      </c>
      <c r="P23" s="575">
        <f t="shared" si="7"/>
        <v>0</v>
      </c>
      <c r="Q23" s="575">
        <f t="shared" si="11"/>
        <v>0</v>
      </c>
    </row>
    <row r="24" spans="1:23" ht="15">
      <c r="A24" s="412">
        <f t="shared" si="0"/>
        <v>10</v>
      </c>
      <c r="B24" s="424" t="s">
        <v>378</v>
      </c>
      <c r="C24" s="409">
        <v>30</v>
      </c>
      <c r="D24" s="410">
        <f t="shared" si="1"/>
        <v>93</v>
      </c>
      <c r="E24" s="410">
        <f t="shared" si="8"/>
        <v>365</v>
      </c>
      <c r="F24" s="43">
        <f>93/365</f>
        <v>0.25479452054794521</v>
      </c>
      <c r="G24" s="410"/>
      <c r="H24" s="825">
        <v>0</v>
      </c>
      <c r="I24" s="570">
        <f t="shared" si="3"/>
        <v>0</v>
      </c>
      <c r="J24" s="570">
        <f t="shared" si="10"/>
        <v>0</v>
      </c>
      <c r="K24" s="572"/>
      <c r="L24" s="576">
        <f t="shared" si="4"/>
        <v>0</v>
      </c>
      <c r="M24" s="574">
        <f t="shared" si="9"/>
        <v>0</v>
      </c>
      <c r="N24" s="575">
        <f t="shared" si="5"/>
        <v>0</v>
      </c>
      <c r="O24" s="575">
        <f t="shared" si="6"/>
        <v>0</v>
      </c>
      <c r="P24" s="575">
        <f t="shared" si="7"/>
        <v>0</v>
      </c>
      <c r="Q24" s="575">
        <f t="shared" si="11"/>
        <v>0</v>
      </c>
    </row>
    <row r="25" spans="1:23" ht="15">
      <c r="A25" s="412">
        <f t="shared" si="0"/>
        <v>11</v>
      </c>
      <c r="B25" s="424" t="s">
        <v>379</v>
      </c>
      <c r="C25" s="409">
        <v>31</v>
      </c>
      <c r="D25" s="410">
        <f t="shared" si="1"/>
        <v>62</v>
      </c>
      <c r="E25" s="410">
        <f t="shared" si="8"/>
        <v>365</v>
      </c>
      <c r="F25" s="43">
        <f>62/365</f>
        <v>0.16986301369863013</v>
      </c>
      <c r="G25" s="410"/>
      <c r="H25" s="825">
        <v>0</v>
      </c>
      <c r="I25" s="570">
        <f t="shared" si="3"/>
        <v>0</v>
      </c>
      <c r="J25" s="570">
        <f t="shared" si="10"/>
        <v>0</v>
      </c>
      <c r="K25" s="572"/>
      <c r="L25" s="576">
        <f t="shared" si="4"/>
        <v>0</v>
      </c>
      <c r="M25" s="574">
        <f t="shared" si="9"/>
        <v>0</v>
      </c>
      <c r="N25" s="575">
        <f t="shared" si="5"/>
        <v>0</v>
      </c>
      <c r="O25" s="575">
        <f t="shared" si="6"/>
        <v>0</v>
      </c>
      <c r="P25" s="575">
        <f t="shared" si="7"/>
        <v>0</v>
      </c>
      <c r="Q25" s="575">
        <f t="shared" si="11"/>
        <v>0</v>
      </c>
    </row>
    <row r="26" spans="1:23" ht="15">
      <c r="A26" s="412">
        <f t="shared" si="0"/>
        <v>12</v>
      </c>
      <c r="B26" s="424" t="s">
        <v>380</v>
      </c>
      <c r="C26" s="409">
        <v>30</v>
      </c>
      <c r="D26" s="410">
        <f t="shared" si="1"/>
        <v>32</v>
      </c>
      <c r="E26" s="410">
        <f t="shared" si="8"/>
        <v>365</v>
      </c>
      <c r="F26" s="43">
        <f>32/365</f>
        <v>8.7671232876712329E-2</v>
      </c>
      <c r="G26" s="410"/>
      <c r="H26" s="825">
        <v>0</v>
      </c>
      <c r="I26" s="570">
        <f t="shared" si="3"/>
        <v>0</v>
      </c>
      <c r="J26" s="570">
        <f t="shared" si="10"/>
        <v>0</v>
      </c>
      <c r="K26" s="572"/>
      <c r="L26" s="576">
        <f t="shared" si="4"/>
        <v>0</v>
      </c>
      <c r="M26" s="574">
        <f t="shared" si="9"/>
        <v>0</v>
      </c>
      <c r="N26" s="575">
        <f t="shared" si="5"/>
        <v>0</v>
      </c>
      <c r="O26" s="575">
        <f t="shared" si="6"/>
        <v>0</v>
      </c>
      <c r="P26" s="575">
        <f t="shared" si="7"/>
        <v>0</v>
      </c>
      <c r="Q26" s="575">
        <f t="shared" si="11"/>
        <v>0</v>
      </c>
    </row>
    <row r="27" spans="1:23" ht="15">
      <c r="A27" s="412">
        <f t="shared" si="0"/>
        <v>13</v>
      </c>
      <c r="B27" s="424" t="s">
        <v>381</v>
      </c>
      <c r="C27" s="409">
        <v>31</v>
      </c>
      <c r="D27" s="410">
        <v>1</v>
      </c>
      <c r="E27" s="410">
        <f t="shared" si="8"/>
        <v>365</v>
      </c>
      <c r="F27" s="43">
        <f>1/365</f>
        <v>2.7397260273972603E-3</v>
      </c>
      <c r="G27" s="410"/>
      <c r="H27" s="825">
        <v>0</v>
      </c>
      <c r="I27" s="570">
        <f t="shared" si="3"/>
        <v>0</v>
      </c>
      <c r="J27" s="570">
        <f t="shared" si="10"/>
        <v>0</v>
      </c>
      <c r="K27" s="572"/>
      <c r="L27" s="576">
        <f t="shared" si="4"/>
        <v>0</v>
      </c>
      <c r="M27" s="574">
        <f t="shared" si="9"/>
        <v>0</v>
      </c>
      <c r="N27" s="575">
        <f t="shared" si="5"/>
        <v>0</v>
      </c>
      <c r="O27" s="575">
        <f t="shared" si="6"/>
        <v>0</v>
      </c>
      <c r="P27" s="575">
        <f t="shared" si="7"/>
        <v>0</v>
      </c>
      <c r="Q27" s="575">
        <f>Q26+N27+(O27+P27)*0.5</f>
        <v>0</v>
      </c>
    </row>
    <row r="28" spans="1:23" ht="15">
      <c r="A28" s="412">
        <f t="shared" si="0"/>
        <v>14</v>
      </c>
      <c r="B28" s="425" t="s">
        <v>67</v>
      </c>
      <c r="C28" s="426">
        <f>SUM(C16:C27)</f>
        <v>365</v>
      </c>
      <c r="D28" s="425"/>
      <c r="E28" s="425"/>
      <c r="F28" s="427"/>
      <c r="G28" s="410"/>
      <c r="H28" s="577">
        <f>SUM(H16:H27)</f>
        <v>0</v>
      </c>
      <c r="I28" s="577">
        <f>SUM(I16:I27)</f>
        <v>0</v>
      </c>
      <c r="J28" s="578"/>
      <c r="K28" s="572"/>
      <c r="L28" s="577">
        <f>SUM(L16:L27)</f>
        <v>0</v>
      </c>
      <c r="M28" s="577">
        <f t="shared" ref="M28:P28" si="12">SUM(M16:M27)</f>
        <v>0</v>
      </c>
      <c r="N28" s="579">
        <f t="shared" si="12"/>
        <v>0</v>
      </c>
      <c r="O28" s="579">
        <f t="shared" si="12"/>
        <v>0</v>
      </c>
      <c r="P28" s="579">
        <f t="shared" si="12"/>
        <v>0</v>
      </c>
      <c r="Q28" s="580"/>
      <c r="T28" s="620"/>
    </row>
    <row r="29" spans="1:23" ht="15">
      <c r="A29" s="412"/>
      <c r="B29" s="428"/>
      <c r="C29" s="428"/>
      <c r="D29" s="428"/>
      <c r="E29" s="428"/>
      <c r="F29" s="429"/>
      <c r="G29" s="429"/>
      <c r="H29" s="412"/>
      <c r="I29" s="430"/>
      <c r="J29" s="429"/>
      <c r="K29" s="429"/>
      <c r="L29" s="412"/>
      <c r="M29" s="412"/>
      <c r="N29" s="412"/>
      <c r="O29" s="412"/>
      <c r="P29" s="412"/>
      <c r="Q29" s="412"/>
    </row>
    <row r="30" spans="1:23" ht="16.899999999999999" customHeight="1">
      <c r="A30" s="45"/>
      <c r="B30" s="45"/>
      <c r="C30" s="45"/>
      <c r="D30" s="45"/>
      <c r="E30" s="45"/>
      <c r="F30" s="45"/>
      <c r="G30" s="45"/>
      <c r="H30" s="45"/>
      <c r="I30" s="45"/>
      <c r="J30" s="45"/>
      <c r="K30" s="45"/>
      <c r="L30" s="45"/>
      <c r="M30" s="45"/>
      <c r="N30" s="45"/>
      <c r="O30" s="45"/>
      <c r="P30" s="45"/>
      <c r="Q30" s="45"/>
    </row>
    <row r="31" spans="1:23" ht="16.899999999999999" customHeight="1">
      <c r="A31" s="45"/>
      <c r="B31" s="45"/>
      <c r="C31" s="45"/>
      <c r="D31" s="45"/>
      <c r="E31" s="45"/>
      <c r="F31" s="59" t="s">
        <v>16</v>
      </c>
      <c r="G31" s="45"/>
      <c r="H31" s="45"/>
      <c r="I31" s="45"/>
      <c r="J31" s="59" t="s">
        <v>430</v>
      </c>
      <c r="K31" s="45"/>
      <c r="L31" s="45"/>
      <c r="M31" s="45"/>
      <c r="N31" s="45"/>
      <c r="O31" s="59"/>
      <c r="P31" s="45"/>
      <c r="Q31" s="45"/>
    </row>
    <row r="32" spans="1:23" ht="16.899999999999999" customHeight="1">
      <c r="A32" s="45"/>
      <c r="B32" s="45"/>
      <c r="C32" s="52" t="s">
        <v>56</v>
      </c>
      <c r="D32" s="52"/>
      <c r="E32" s="52" t="s">
        <v>362</v>
      </c>
      <c r="F32" s="53" t="s">
        <v>431</v>
      </c>
      <c r="G32" s="53" t="s">
        <v>67</v>
      </c>
      <c r="H32" s="52"/>
      <c r="I32" s="52" t="s">
        <v>365</v>
      </c>
      <c r="J32" s="53" t="s">
        <v>431</v>
      </c>
      <c r="K32" s="45"/>
      <c r="L32" s="53" t="s">
        <v>67</v>
      </c>
      <c r="M32" s="45"/>
      <c r="N32" s="53" t="s">
        <v>432</v>
      </c>
      <c r="O32" s="53"/>
      <c r="P32" s="826" t="s">
        <v>979</v>
      </c>
      <c r="Q32" s="827">
        <v>0</v>
      </c>
      <c r="R32" s="828"/>
      <c r="S32" s="828"/>
      <c r="T32" s="828" t="s">
        <v>981</v>
      </c>
      <c r="U32" s="827"/>
      <c r="V32" s="829"/>
      <c r="W32" s="827">
        <v>0</v>
      </c>
    </row>
    <row r="33" spans="1:23" ht="16.899999999999999" customHeight="1">
      <c r="A33" s="45"/>
      <c r="B33" s="45" t="s">
        <v>423</v>
      </c>
      <c r="C33" s="45"/>
      <c r="D33" s="45"/>
      <c r="E33" s="45"/>
      <c r="F33" s="45"/>
      <c r="G33" s="45"/>
      <c r="H33" s="45"/>
      <c r="I33" s="45"/>
      <c r="J33" s="45"/>
      <c r="K33" s="45"/>
      <c r="L33" s="45"/>
      <c r="M33" s="45"/>
      <c r="N33" s="45"/>
      <c r="O33" s="45"/>
      <c r="P33" s="828"/>
      <c r="Q33" s="828"/>
      <c r="R33" s="828"/>
      <c r="S33" s="828"/>
      <c r="T33" s="828"/>
      <c r="U33" s="828"/>
      <c r="V33" s="829"/>
      <c r="W33" s="829"/>
    </row>
    <row r="34" spans="1:23" ht="16.899999999999999" customHeight="1">
      <c r="A34" s="45">
        <f>+A28+1</f>
        <v>15</v>
      </c>
      <c r="B34" s="45" t="s">
        <v>370</v>
      </c>
      <c r="C34" s="581">
        <v>0</v>
      </c>
      <c r="D34" s="342"/>
      <c r="E34" s="581">
        <v>0</v>
      </c>
      <c r="F34" s="462">
        <f>+'Appendix A'!$H$27</f>
        <v>0.26818076319772116</v>
      </c>
      <c r="G34" s="342">
        <f>+E34*F34</f>
        <v>0</v>
      </c>
      <c r="H34" s="342"/>
      <c r="I34" s="581">
        <v>0</v>
      </c>
      <c r="J34" s="462">
        <f>+'Appendix A'!$H$16</f>
        <v>0.12508709030780155</v>
      </c>
      <c r="K34" s="45"/>
      <c r="L34" s="342">
        <f>+I34*J34</f>
        <v>0</v>
      </c>
      <c r="M34" s="342"/>
      <c r="N34" s="581">
        <f>+C34+G34+L34</f>
        <v>0</v>
      </c>
      <c r="O34" s="461"/>
      <c r="P34" s="827" t="s">
        <v>980</v>
      </c>
      <c r="Q34" s="827">
        <v>0</v>
      </c>
      <c r="R34" s="828"/>
      <c r="S34" s="828"/>
      <c r="T34" s="828" t="s">
        <v>982</v>
      </c>
      <c r="U34" s="827">
        <v>0</v>
      </c>
      <c r="V34" s="830">
        <f>+J34</f>
        <v>0.12508709030780155</v>
      </c>
      <c r="W34" s="827">
        <v>0</v>
      </c>
    </row>
    <row r="35" spans="1:23" ht="16.899999999999999" customHeight="1">
      <c r="A35" s="45">
        <f>+A34+1</f>
        <v>16</v>
      </c>
      <c r="B35" s="45" t="s">
        <v>371</v>
      </c>
      <c r="C35" s="581">
        <v>0</v>
      </c>
      <c r="D35" s="342"/>
      <c r="E35" s="581">
        <v>0</v>
      </c>
      <c r="F35" s="462">
        <f>+'Appendix A'!$H$27</f>
        <v>0.26818076319772116</v>
      </c>
      <c r="G35" s="342">
        <f t="shared" ref="G35:G45" si="13">+E35*F35</f>
        <v>0</v>
      </c>
      <c r="H35" s="342"/>
      <c r="I35" s="581">
        <v>0</v>
      </c>
      <c r="J35" s="462">
        <f>+'Appendix A'!$H$16</f>
        <v>0.12508709030780155</v>
      </c>
      <c r="K35" s="45"/>
      <c r="L35" s="342">
        <f t="shared" ref="L35:L45" si="14">+I35*J35</f>
        <v>0</v>
      </c>
      <c r="M35" s="342"/>
      <c r="N35" s="581">
        <f t="shared" ref="N35:N45" si="15">+C35+G35+L35+P35</f>
        <v>0</v>
      </c>
      <c r="O35" s="461"/>
      <c r="P35" s="831"/>
      <c r="Q35" s="829"/>
      <c r="R35" s="829"/>
      <c r="S35" s="829"/>
      <c r="T35" s="829"/>
      <c r="U35" s="829"/>
      <c r="V35" s="829"/>
      <c r="W35" s="829"/>
    </row>
    <row r="36" spans="1:23" ht="16.899999999999999" customHeight="1">
      <c r="A36" s="45">
        <f t="shared" ref="A36:A45" si="16">+A35+1</f>
        <v>17</v>
      </c>
      <c r="B36" s="45" t="s">
        <v>372</v>
      </c>
      <c r="C36" s="581">
        <v>0</v>
      </c>
      <c r="D36" s="342"/>
      <c r="E36" s="581">
        <v>0</v>
      </c>
      <c r="F36" s="462">
        <f>+'Appendix A'!$H$27</f>
        <v>0.26818076319772116</v>
      </c>
      <c r="G36" s="342">
        <f t="shared" si="13"/>
        <v>0</v>
      </c>
      <c r="H36" s="342"/>
      <c r="I36" s="581">
        <v>0</v>
      </c>
      <c r="J36" s="462">
        <f>+'Appendix A'!$H$16</f>
        <v>0.12508709030780155</v>
      </c>
      <c r="K36" s="45"/>
      <c r="L36" s="342">
        <f t="shared" si="14"/>
        <v>0</v>
      </c>
      <c r="M36" s="342"/>
      <c r="N36" s="581">
        <f t="shared" si="15"/>
        <v>0</v>
      </c>
      <c r="O36" s="461"/>
      <c r="P36" s="831"/>
      <c r="Q36" s="829"/>
      <c r="R36" s="829"/>
      <c r="S36" s="829"/>
      <c r="T36" s="827" t="s">
        <v>67</v>
      </c>
      <c r="U36" s="827"/>
      <c r="V36" s="827"/>
      <c r="W36" s="827">
        <f>+W32+W34</f>
        <v>0</v>
      </c>
    </row>
    <row r="37" spans="1:23" ht="16.899999999999999" customHeight="1">
      <c r="A37" s="45">
        <f t="shared" si="16"/>
        <v>18</v>
      </c>
      <c r="B37" s="45" t="s">
        <v>373</v>
      </c>
      <c r="C37" s="581">
        <v>0</v>
      </c>
      <c r="D37" s="342"/>
      <c r="E37" s="581">
        <v>0</v>
      </c>
      <c r="F37" s="462">
        <f>+'Appendix A'!$H$27</f>
        <v>0.26818076319772116</v>
      </c>
      <c r="G37" s="342">
        <f t="shared" si="13"/>
        <v>0</v>
      </c>
      <c r="H37" s="342"/>
      <c r="I37" s="581">
        <v>0</v>
      </c>
      <c r="J37" s="462">
        <f>+'Appendix A'!$H$16</f>
        <v>0.12508709030780155</v>
      </c>
      <c r="K37" s="45"/>
      <c r="L37" s="342">
        <f t="shared" si="14"/>
        <v>0</v>
      </c>
      <c r="M37" s="342"/>
      <c r="N37" s="581">
        <f t="shared" si="15"/>
        <v>0</v>
      </c>
      <c r="O37" s="461"/>
      <c r="P37" s="342"/>
    </row>
    <row r="38" spans="1:23" ht="16.899999999999999" customHeight="1">
      <c r="A38" s="45">
        <f t="shared" si="16"/>
        <v>19</v>
      </c>
      <c r="B38" s="45" t="s">
        <v>374</v>
      </c>
      <c r="C38" s="581">
        <v>0</v>
      </c>
      <c r="D38" s="342"/>
      <c r="E38" s="581">
        <v>0</v>
      </c>
      <c r="F38" s="462">
        <f>+'Appendix A'!$H$27</f>
        <v>0.26818076319772116</v>
      </c>
      <c r="G38" s="342">
        <f t="shared" si="13"/>
        <v>0</v>
      </c>
      <c r="H38" s="342"/>
      <c r="I38" s="581">
        <v>0</v>
      </c>
      <c r="J38" s="462">
        <f>+'Appendix A'!$H$16</f>
        <v>0.12508709030780155</v>
      </c>
      <c r="K38" s="45"/>
      <c r="L38" s="342">
        <f t="shared" si="14"/>
        <v>0</v>
      </c>
      <c r="M38" s="342"/>
      <c r="N38" s="581">
        <f>+C38+G38+L38+P38</f>
        <v>0</v>
      </c>
      <c r="O38" s="461"/>
      <c r="P38" s="342"/>
    </row>
    <row r="39" spans="1:23" ht="16.899999999999999" customHeight="1">
      <c r="A39" s="45">
        <f t="shared" si="16"/>
        <v>20</v>
      </c>
      <c r="B39" s="45" t="s">
        <v>375</v>
      </c>
      <c r="C39" s="581">
        <v>0</v>
      </c>
      <c r="D39" s="342"/>
      <c r="E39" s="581">
        <v>0</v>
      </c>
      <c r="F39" s="462">
        <f>+'Appendix A'!$H$27</f>
        <v>0.26818076319772116</v>
      </c>
      <c r="G39" s="342">
        <f t="shared" si="13"/>
        <v>0</v>
      </c>
      <c r="H39" s="342"/>
      <c r="I39" s="581">
        <v>0</v>
      </c>
      <c r="J39" s="462">
        <f>+'Appendix A'!$H$16</f>
        <v>0.12508709030780155</v>
      </c>
      <c r="K39" s="45"/>
      <c r="L39" s="342">
        <f t="shared" si="14"/>
        <v>0</v>
      </c>
      <c r="M39" s="342"/>
      <c r="N39" s="581">
        <f>+C39+G39+L39+P39</f>
        <v>0</v>
      </c>
      <c r="O39" s="461"/>
      <c r="P39" s="342"/>
    </row>
    <row r="40" spans="1:23" ht="15">
      <c r="A40" s="45">
        <f t="shared" si="16"/>
        <v>21</v>
      </c>
      <c r="B40" s="45" t="s">
        <v>376</v>
      </c>
      <c r="C40" s="581">
        <v>0</v>
      </c>
      <c r="D40" s="342"/>
      <c r="E40" s="581">
        <v>0</v>
      </c>
      <c r="F40" s="462">
        <f>+'Appendix A'!$H$27</f>
        <v>0.26818076319772116</v>
      </c>
      <c r="G40" s="342">
        <f t="shared" si="13"/>
        <v>0</v>
      </c>
      <c r="H40" s="342"/>
      <c r="I40" s="581">
        <v>0</v>
      </c>
      <c r="J40" s="462">
        <f>+'Appendix A'!$H$16</f>
        <v>0.12508709030780155</v>
      </c>
      <c r="K40" s="45"/>
      <c r="L40" s="342">
        <f t="shared" si="14"/>
        <v>0</v>
      </c>
      <c r="M40" s="342"/>
      <c r="N40" s="581">
        <f>+C40+G40+L40+P40</f>
        <v>0</v>
      </c>
      <c r="O40" s="461"/>
      <c r="P40" s="342"/>
    </row>
    <row r="41" spans="1:23" ht="15">
      <c r="A41" s="45">
        <f t="shared" si="16"/>
        <v>22</v>
      </c>
      <c r="B41" s="45" t="s">
        <v>377</v>
      </c>
      <c r="C41" s="581">
        <v>0</v>
      </c>
      <c r="D41" s="342"/>
      <c r="E41" s="581">
        <v>0</v>
      </c>
      <c r="F41" s="462">
        <f>+'Appendix A'!$H$27</f>
        <v>0.26818076319772116</v>
      </c>
      <c r="G41" s="342">
        <f t="shared" si="13"/>
        <v>0</v>
      </c>
      <c r="H41" s="342"/>
      <c r="I41" s="581">
        <v>0</v>
      </c>
      <c r="J41" s="462">
        <f>+'Appendix A'!$H$16</f>
        <v>0.12508709030780155</v>
      </c>
      <c r="K41" s="45"/>
      <c r="L41" s="342">
        <f t="shared" si="14"/>
        <v>0</v>
      </c>
      <c r="M41" s="342"/>
      <c r="N41" s="581">
        <f t="shared" si="15"/>
        <v>0</v>
      </c>
      <c r="O41" s="461"/>
      <c r="P41" s="342"/>
    </row>
    <row r="42" spans="1:23" ht="15">
      <c r="A42" s="45">
        <f t="shared" si="16"/>
        <v>23</v>
      </c>
      <c r="B42" s="45" t="s">
        <v>378</v>
      </c>
      <c r="C42" s="581">
        <v>0</v>
      </c>
      <c r="D42" s="342"/>
      <c r="E42" s="581">
        <v>0</v>
      </c>
      <c r="F42" s="462">
        <f>+'Appendix A'!$H$27</f>
        <v>0.26818076319772116</v>
      </c>
      <c r="G42" s="342">
        <f t="shared" si="13"/>
        <v>0</v>
      </c>
      <c r="H42" s="342"/>
      <c r="I42" s="581">
        <v>0</v>
      </c>
      <c r="J42" s="462">
        <f>+'Appendix A'!$H$16</f>
        <v>0.12508709030780155</v>
      </c>
      <c r="K42" s="45"/>
      <c r="L42" s="342">
        <f t="shared" si="14"/>
        <v>0</v>
      </c>
      <c r="M42" s="342"/>
      <c r="N42" s="581">
        <f t="shared" si="15"/>
        <v>0</v>
      </c>
      <c r="O42" s="461"/>
      <c r="P42" s="342"/>
    </row>
    <row r="43" spans="1:23" ht="15">
      <c r="A43" s="45">
        <f t="shared" si="16"/>
        <v>24</v>
      </c>
      <c r="B43" s="45" t="s">
        <v>379</v>
      </c>
      <c r="C43" s="581">
        <v>0</v>
      </c>
      <c r="D43" s="342"/>
      <c r="E43" s="581">
        <v>0</v>
      </c>
      <c r="F43" s="462">
        <f>+'Appendix A'!$H$27</f>
        <v>0.26818076319772116</v>
      </c>
      <c r="G43" s="342">
        <f t="shared" si="13"/>
        <v>0</v>
      </c>
      <c r="H43" s="342"/>
      <c r="I43" s="581">
        <v>0</v>
      </c>
      <c r="J43" s="462">
        <f>+'Appendix A'!$H$16</f>
        <v>0.12508709030780155</v>
      </c>
      <c r="K43" s="45"/>
      <c r="L43" s="342">
        <f t="shared" si="14"/>
        <v>0</v>
      </c>
      <c r="M43" s="342"/>
      <c r="N43" s="581">
        <f t="shared" si="15"/>
        <v>0</v>
      </c>
      <c r="O43" s="461"/>
      <c r="P43" s="342"/>
    </row>
    <row r="44" spans="1:23" ht="15">
      <c r="A44" s="45">
        <f t="shared" si="16"/>
        <v>25</v>
      </c>
      <c r="B44" s="45" t="s">
        <v>380</v>
      </c>
      <c r="C44" s="581">
        <v>0</v>
      </c>
      <c r="D44" s="342"/>
      <c r="E44" s="581">
        <v>0</v>
      </c>
      <c r="F44" s="462">
        <f>+'Appendix A'!$H$27</f>
        <v>0.26818076319772116</v>
      </c>
      <c r="G44" s="342">
        <f t="shared" si="13"/>
        <v>0</v>
      </c>
      <c r="H44" s="342"/>
      <c r="I44" s="581">
        <v>0</v>
      </c>
      <c r="J44" s="462">
        <f>+'Appendix A'!$H$16</f>
        <v>0.12508709030780155</v>
      </c>
      <c r="K44" s="45"/>
      <c r="L44" s="342">
        <f t="shared" si="14"/>
        <v>0</v>
      </c>
      <c r="M44" s="342"/>
      <c r="N44" s="581">
        <f t="shared" si="15"/>
        <v>0</v>
      </c>
      <c r="O44" s="461"/>
      <c r="P44" s="342"/>
    </row>
    <row r="45" spans="1:23" ht="15">
      <c r="A45" s="45">
        <f t="shared" si="16"/>
        <v>26</v>
      </c>
      <c r="B45" s="45" t="s">
        <v>381</v>
      </c>
      <c r="C45" s="581">
        <v>0</v>
      </c>
      <c r="D45" s="342"/>
      <c r="E45" s="581">
        <v>0</v>
      </c>
      <c r="F45" s="462">
        <f>+'Appendix A'!$H$27</f>
        <v>0.26818076319772116</v>
      </c>
      <c r="G45" s="342">
        <f t="shared" si="13"/>
        <v>0</v>
      </c>
      <c r="H45" s="342"/>
      <c r="I45" s="581">
        <v>0</v>
      </c>
      <c r="J45" s="462">
        <f>+'Appendix A'!$H$16</f>
        <v>0.12508709030780155</v>
      </c>
      <c r="K45" s="45"/>
      <c r="L45" s="342">
        <f t="shared" si="14"/>
        <v>0</v>
      </c>
      <c r="M45" s="342"/>
      <c r="N45" s="581">
        <f t="shared" si="15"/>
        <v>0</v>
      </c>
      <c r="O45" s="461"/>
      <c r="P45" s="342"/>
    </row>
    <row r="46" spans="1:23" ht="15">
      <c r="A46" s="45"/>
      <c r="B46" s="45"/>
      <c r="C46" s="45"/>
      <c r="D46" s="45"/>
      <c r="E46" s="45"/>
      <c r="F46" s="45"/>
      <c r="G46" s="45"/>
      <c r="H46" s="45"/>
      <c r="I46" s="45"/>
      <c r="J46" s="45"/>
      <c r="K46" s="45"/>
      <c r="L46" s="45"/>
      <c r="M46" s="45"/>
      <c r="N46" s="45"/>
      <c r="O46" s="45"/>
      <c r="P46" s="45"/>
      <c r="Q46" s="45"/>
    </row>
    <row r="47" spans="1:23" ht="15">
      <c r="A47" s="45"/>
      <c r="B47" s="45"/>
      <c r="C47" s="45"/>
      <c r="D47" s="45"/>
      <c r="E47" s="45"/>
      <c r="F47" s="45"/>
      <c r="G47" s="45"/>
      <c r="H47" s="45"/>
      <c r="I47" s="45"/>
      <c r="J47" s="45"/>
      <c r="K47" s="45"/>
      <c r="L47" s="45"/>
      <c r="M47" s="45"/>
      <c r="N47" s="45"/>
      <c r="O47" s="45"/>
      <c r="P47" s="45"/>
      <c r="Q47" s="45"/>
    </row>
    <row r="48" spans="1:23" ht="15">
      <c r="A48" s="45"/>
      <c r="B48" s="45" t="s">
        <v>433</v>
      </c>
      <c r="C48" s="45"/>
      <c r="D48" s="45"/>
      <c r="E48" s="45"/>
      <c r="F48" s="45"/>
      <c r="G48" s="45"/>
      <c r="H48" s="45"/>
      <c r="I48" s="45"/>
      <c r="J48" s="45"/>
      <c r="K48" s="45"/>
      <c r="L48" s="45"/>
      <c r="M48" s="45"/>
      <c r="N48" s="45"/>
      <c r="O48" s="45"/>
      <c r="P48" s="45"/>
      <c r="Q48" s="45"/>
    </row>
    <row r="49" spans="1:17" ht="15">
      <c r="A49" s="45"/>
      <c r="B49" s="45" t="s">
        <v>405</v>
      </c>
      <c r="C49" s="45"/>
      <c r="D49" s="45"/>
      <c r="E49" s="45"/>
      <c r="F49" s="45"/>
      <c r="G49" s="45"/>
      <c r="H49" s="45"/>
      <c r="I49" s="45"/>
      <c r="J49" s="45"/>
      <c r="K49" s="45"/>
      <c r="L49" s="45"/>
      <c r="M49" s="45"/>
      <c r="N49" s="45"/>
      <c r="O49" s="45"/>
      <c r="P49" s="45"/>
      <c r="Q49" s="45"/>
    </row>
    <row r="50" spans="1:17" ht="15">
      <c r="A50" s="45"/>
      <c r="B50" s="45" t="s">
        <v>406</v>
      </c>
      <c r="C50" s="45"/>
      <c r="D50" s="45"/>
      <c r="E50" s="45"/>
      <c r="F50" s="45"/>
      <c r="G50" s="45"/>
      <c r="H50" s="45"/>
      <c r="I50" s="45"/>
      <c r="J50" s="45"/>
      <c r="K50" s="45"/>
      <c r="L50" s="45"/>
      <c r="M50" s="45"/>
      <c r="N50" s="45"/>
      <c r="O50" s="45"/>
      <c r="P50" s="45"/>
      <c r="Q50" s="45"/>
    </row>
    <row r="51" spans="1:17" ht="15">
      <c r="A51" s="45"/>
      <c r="B51" s="45" t="s">
        <v>407</v>
      </c>
      <c r="C51" s="45"/>
      <c r="D51" s="45"/>
      <c r="E51" s="45"/>
      <c r="F51" s="45"/>
      <c r="G51" s="45"/>
      <c r="H51" s="45"/>
      <c r="I51" s="45"/>
      <c r="J51" s="45"/>
      <c r="K51" s="45"/>
      <c r="L51" s="45"/>
      <c r="M51" s="45"/>
      <c r="N51" s="45"/>
      <c r="O51" s="45"/>
      <c r="P51" s="45"/>
      <c r="Q51" s="45"/>
    </row>
    <row r="52" spans="1:17" ht="15">
      <c r="B52" s="45" t="s">
        <v>408</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topLeftCell="A6" zoomScale="75" zoomScaleNormal="75" workbookViewId="0">
      <selection activeCell="E45" sqref="E45"/>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904" t="str">
        <f>+'Appendix A'!A3</f>
        <v>Dayton Power and Light</v>
      </c>
      <c r="B2" s="904"/>
      <c r="C2" s="904"/>
      <c r="D2" s="904"/>
      <c r="E2" s="904"/>
      <c r="F2" s="904"/>
      <c r="G2" s="904"/>
      <c r="H2" s="904"/>
      <c r="I2" s="627"/>
    </row>
    <row r="3" spans="1:9" ht="18">
      <c r="A3" s="904" t="str">
        <f>+'Appendix A'!A4</f>
        <v xml:space="preserve">ATTACHMENT H-15A </v>
      </c>
      <c r="B3" s="904"/>
      <c r="C3" s="904"/>
      <c r="D3" s="904"/>
      <c r="E3" s="904"/>
      <c r="F3" s="905"/>
      <c r="G3" s="905"/>
      <c r="H3" s="905"/>
      <c r="I3" s="433"/>
    </row>
    <row r="4" spans="1:9" s="18" customFormat="1" ht="18">
      <c r="A4" s="904" t="s">
        <v>997</v>
      </c>
      <c r="B4" s="904"/>
      <c r="C4" s="904"/>
      <c r="D4" s="904"/>
      <c r="E4" s="904"/>
      <c r="F4" s="905"/>
      <c r="G4" s="905"/>
      <c r="H4" s="905"/>
    </row>
    <row r="5" spans="1:9">
      <c r="A5" s="1" t="s">
        <v>434</v>
      </c>
      <c r="B5" s="1"/>
      <c r="C5" s="1"/>
      <c r="D5" s="1"/>
      <c r="E5" s="3"/>
      <c r="F5" s="1"/>
      <c r="G5" s="1"/>
      <c r="H5" s="1"/>
      <c r="I5" s="1"/>
    </row>
    <row r="6" spans="1:9" s="1" customFormat="1" ht="15.75">
      <c r="A6" s="1" t="s">
        <v>411</v>
      </c>
      <c r="D6" s="23"/>
      <c r="E6" s="3"/>
    </row>
    <row r="7" spans="1:9" s="1" customFormat="1">
      <c r="E7" s="3"/>
    </row>
    <row r="8" spans="1:9">
      <c r="A8" s="1"/>
      <c r="B8" s="1"/>
      <c r="C8" s="1"/>
      <c r="D8" s="7"/>
      <c r="E8" s="7" t="s">
        <v>435</v>
      </c>
      <c r="F8" s="7"/>
      <c r="G8" s="7" t="s">
        <v>436</v>
      </c>
      <c r="H8" s="7"/>
      <c r="I8" s="1"/>
    </row>
    <row r="9" spans="1:9">
      <c r="A9" s="25" t="s">
        <v>437</v>
      </c>
      <c r="B9" s="25"/>
      <c r="C9" s="1"/>
      <c r="D9" s="7"/>
      <c r="E9" s="7" t="s">
        <v>438</v>
      </c>
      <c r="F9" s="7" t="s">
        <v>431</v>
      </c>
      <c r="G9" s="7" t="s">
        <v>439</v>
      </c>
      <c r="H9" s="7"/>
      <c r="I9" s="1"/>
    </row>
    <row r="10" spans="1:9">
      <c r="A10" s="25"/>
      <c r="B10" s="25"/>
      <c r="C10" s="1"/>
      <c r="D10" s="7"/>
      <c r="E10" s="24"/>
      <c r="F10" s="7"/>
      <c r="G10" s="7"/>
      <c r="H10" s="7"/>
      <c r="I10" s="1"/>
    </row>
    <row r="11" spans="1:9">
      <c r="A11" s="25"/>
      <c r="B11" s="25" t="s">
        <v>440</v>
      </c>
      <c r="C11" s="1"/>
      <c r="D11" s="7"/>
      <c r="E11" s="24"/>
      <c r="F11" s="7"/>
      <c r="G11" s="7"/>
      <c r="H11" s="7"/>
      <c r="I11" s="1"/>
    </row>
    <row r="12" spans="1:9">
      <c r="A12" s="4">
        <v>1</v>
      </c>
      <c r="B12" s="1"/>
      <c r="C12" s="1" t="s">
        <v>441</v>
      </c>
      <c r="D12" s="15"/>
      <c r="E12" s="582">
        <v>29697422</v>
      </c>
      <c r="F12" s="583" t="s">
        <v>442</v>
      </c>
      <c r="G12" s="19">
        <f>+E12</f>
        <v>29697422</v>
      </c>
      <c r="H12" s="91" t="str">
        <f>"(Attachment 4, Line "&amp;'4 - Cost Support'!A117&amp;")"</f>
        <v>(Attachment 4, Line 41)</v>
      </c>
      <c r="I12" s="1"/>
    </row>
    <row r="13" spans="1:9">
      <c r="A13" s="4">
        <f>+A12+1</f>
        <v>2</v>
      </c>
      <c r="B13" s="1"/>
      <c r="C13" s="356" t="s">
        <v>443</v>
      </c>
      <c r="D13" s="1"/>
      <c r="E13" s="584">
        <v>0</v>
      </c>
      <c r="F13" s="585" t="s">
        <v>442</v>
      </c>
      <c r="G13" s="586">
        <f t="shared" ref="G13:G14" si="0">+E13</f>
        <v>0</v>
      </c>
      <c r="H13" s="15"/>
      <c r="I13" s="1"/>
    </row>
    <row r="14" spans="1:9">
      <c r="A14" s="4">
        <f>+A13+1</f>
        <v>3</v>
      </c>
      <c r="B14" s="1"/>
      <c r="C14" s="356" t="s">
        <v>443</v>
      </c>
      <c r="D14" s="1"/>
      <c r="E14" s="587">
        <v>0</v>
      </c>
      <c r="F14" s="588" t="s">
        <v>442</v>
      </c>
      <c r="G14" s="589">
        <f t="shared" si="0"/>
        <v>0</v>
      </c>
      <c r="H14" s="15"/>
      <c r="I14" s="1"/>
    </row>
    <row r="15" spans="1:9">
      <c r="A15" s="4">
        <f>+A14+1</f>
        <v>4</v>
      </c>
      <c r="B15" s="25" t="s">
        <v>444</v>
      </c>
      <c r="C15" s="1"/>
      <c r="D15" s="15"/>
      <c r="E15" s="582">
        <f>+E12+E13+E14</f>
        <v>29697422</v>
      </c>
      <c r="F15" s="585" t="s">
        <v>442</v>
      </c>
      <c r="G15" s="586">
        <f>+E15</f>
        <v>29697422</v>
      </c>
      <c r="H15" s="15"/>
      <c r="I15" s="1"/>
    </row>
    <row r="16" spans="1:9">
      <c r="A16" s="1"/>
      <c r="B16" s="1"/>
      <c r="C16" s="1"/>
      <c r="D16" s="7"/>
      <c r="E16" s="590"/>
      <c r="F16" s="19"/>
      <c r="G16" s="591"/>
      <c r="H16" s="7"/>
      <c r="I16" s="1"/>
    </row>
    <row r="17" spans="1:13">
      <c r="A17" s="4"/>
      <c r="B17" s="25" t="s">
        <v>445</v>
      </c>
      <c r="C17" s="1"/>
      <c r="D17" s="7"/>
      <c r="E17" s="592"/>
      <c r="F17" s="591"/>
      <c r="G17" s="591"/>
      <c r="H17" s="7"/>
      <c r="I17" s="1"/>
      <c r="J17" s="1"/>
      <c r="K17" s="1"/>
      <c r="L17" s="1"/>
      <c r="M17" s="1"/>
    </row>
    <row r="18" spans="1:13" s="1" customFormat="1">
      <c r="A18" s="4"/>
      <c r="D18" s="7"/>
      <c r="E18" s="592"/>
      <c r="F18" s="591"/>
      <c r="G18" s="591"/>
      <c r="H18" s="7"/>
    </row>
    <row r="19" spans="1:13" s="1" customFormat="1">
      <c r="A19" s="4">
        <f>+A15+1</f>
        <v>5</v>
      </c>
      <c r="C19" s="355" t="s">
        <v>443</v>
      </c>
      <c r="D19" s="15"/>
      <c r="E19" s="593">
        <v>0</v>
      </c>
      <c r="F19" s="594"/>
      <c r="G19" s="595"/>
      <c r="H19" s="15"/>
      <c r="K19" s="179"/>
      <c r="L19" s="179"/>
      <c r="M19" s="179"/>
    </row>
    <row r="20" spans="1:13" s="1" customFormat="1">
      <c r="A20" s="4">
        <f>+A19+1</f>
        <v>6</v>
      </c>
      <c r="B20" s="25" t="s">
        <v>446</v>
      </c>
      <c r="D20" s="15"/>
      <c r="E20" s="29">
        <f>SUM(E19:E19)</f>
        <v>0</v>
      </c>
      <c r="F20" s="543">
        <f>+'Appendix A'!H27</f>
        <v>0.26818076319772116</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365</v>
      </c>
      <c r="D22" s="15"/>
      <c r="E22" s="26"/>
      <c r="F22" s="7" t="s">
        <v>447</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448</v>
      </c>
      <c r="E24" s="29">
        <f>+'4 - Cost Support'!S118</f>
        <v>0</v>
      </c>
      <c r="K24" s="179"/>
      <c r="L24" s="179"/>
      <c r="M24" s="179"/>
    </row>
    <row r="25" spans="1:13" s="1" customFormat="1">
      <c r="A25" s="4">
        <f>1+A24</f>
        <v>8</v>
      </c>
      <c r="C25" s="1" t="s">
        <v>449</v>
      </c>
      <c r="E25" s="29">
        <f>+'4 - Cost Support'!S119</f>
        <v>627093</v>
      </c>
      <c r="K25" s="179"/>
      <c r="L25" s="179"/>
      <c r="M25" s="179"/>
    </row>
    <row r="26" spans="1:13" s="1" customFormat="1">
      <c r="A26" s="4">
        <f>1+A25</f>
        <v>9</v>
      </c>
      <c r="C26" s="355" t="s">
        <v>450</v>
      </c>
      <c r="E26" s="817">
        <v>1409148</v>
      </c>
      <c r="F26" s="6"/>
      <c r="G26" s="6"/>
      <c r="H26" s="71"/>
      <c r="K26" s="179"/>
      <c r="L26" s="179"/>
      <c r="M26" s="179"/>
    </row>
    <row r="27" spans="1:13">
      <c r="A27" s="4">
        <f>1+A26</f>
        <v>10</v>
      </c>
      <c r="B27" s="25" t="s">
        <v>451</v>
      </c>
      <c r="C27" s="1"/>
      <c r="D27" s="1"/>
      <c r="E27" s="29">
        <f>SUM(E24:E26)</f>
        <v>2036241</v>
      </c>
      <c r="F27" s="664">
        <f>+'Appendix A'!H16</f>
        <v>0.12508709030780155</v>
      </c>
      <c r="G27" s="29">
        <f>+E27*F27</f>
        <v>254707.46185544814</v>
      </c>
      <c r="H27" s="29"/>
      <c r="I27" s="1"/>
      <c r="J27" s="1"/>
      <c r="K27" s="179"/>
      <c r="L27" s="179"/>
      <c r="M27" s="179"/>
    </row>
    <row r="28" spans="1:13">
      <c r="A28" s="4"/>
      <c r="B28" s="25"/>
      <c r="C28" s="1"/>
      <c r="D28" s="1"/>
      <c r="E28" s="29"/>
      <c r="F28" s="665"/>
      <c r="G28" s="29"/>
      <c r="H28" s="29"/>
      <c r="I28" s="1"/>
      <c r="J28" s="1"/>
      <c r="K28" s="179"/>
      <c r="L28" s="179"/>
      <c r="M28" s="179"/>
    </row>
    <row r="29" spans="1:13" s="1" customFormat="1" ht="15.75" thickBot="1">
      <c r="A29" s="4">
        <f>+A27+1</f>
        <v>11</v>
      </c>
      <c r="B29" s="25" t="s">
        <v>452</v>
      </c>
      <c r="E29" s="633">
        <f>+E15+E20+E27</f>
        <v>31733663</v>
      </c>
      <c r="F29" s="666"/>
      <c r="G29" s="633">
        <f>+G15+G20+G27</f>
        <v>29952129.461855449</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978</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7" t="s">
        <v>453</v>
      </c>
      <c r="D34" s="1"/>
      <c r="E34" s="781">
        <v>0</v>
      </c>
      <c r="F34" s="13"/>
      <c r="G34" s="1"/>
      <c r="H34" s="1"/>
      <c r="I34" s="1"/>
      <c r="J34" s="1"/>
      <c r="K34" s="179"/>
      <c r="L34" s="179"/>
      <c r="M34" s="179"/>
    </row>
    <row r="35" spans="1:13">
      <c r="A35" s="4">
        <f>1+A34</f>
        <v>13</v>
      </c>
      <c r="B35" s="1"/>
      <c r="C35" s="357" t="s">
        <v>454</v>
      </c>
      <c r="D35" s="1"/>
      <c r="E35" s="781">
        <v>0</v>
      </c>
      <c r="F35" s="13"/>
      <c r="G35" s="1"/>
      <c r="H35" s="1"/>
      <c r="I35" s="1"/>
      <c r="J35" s="1"/>
      <c r="K35" s="179"/>
      <c r="L35" s="179"/>
      <c r="M35" s="179"/>
    </row>
    <row r="36" spans="1:13">
      <c r="A36" s="4">
        <f t="shared" ref="A36:A41" si="1">1+A35</f>
        <v>14</v>
      </c>
      <c r="B36" s="1"/>
      <c r="C36" s="357" t="s">
        <v>973</v>
      </c>
      <c r="D36" s="1"/>
      <c r="E36" s="781">
        <v>0</v>
      </c>
      <c r="F36" s="13"/>
      <c r="G36" s="1"/>
      <c r="H36" s="1"/>
      <c r="I36" s="1"/>
      <c r="J36" s="1"/>
      <c r="K36" s="179"/>
      <c r="L36" s="179"/>
      <c r="M36" s="179"/>
    </row>
    <row r="37" spans="1:13">
      <c r="A37" s="4">
        <f t="shared" si="1"/>
        <v>15</v>
      </c>
      <c r="B37" s="1"/>
      <c r="C37" s="357" t="s">
        <v>974</v>
      </c>
      <c r="D37" s="1"/>
      <c r="E37" s="781">
        <v>0</v>
      </c>
      <c r="F37" s="13"/>
      <c r="G37" s="1"/>
      <c r="H37" s="1"/>
      <c r="I37" s="1"/>
      <c r="J37" s="1"/>
      <c r="K37" s="179"/>
      <c r="L37" s="179"/>
      <c r="M37" s="179"/>
    </row>
    <row r="38" spans="1:13">
      <c r="A38" s="4">
        <f t="shared" si="1"/>
        <v>16</v>
      </c>
      <c r="B38" s="1"/>
      <c r="C38" s="355" t="s">
        <v>975</v>
      </c>
      <c r="D38" s="15"/>
      <c r="E38" s="775">
        <v>0</v>
      </c>
      <c r="F38" s="13"/>
      <c r="G38" s="1"/>
      <c r="H38" s="1"/>
      <c r="I38" s="1"/>
      <c r="J38" s="1"/>
      <c r="K38" s="179"/>
      <c r="L38" s="179"/>
      <c r="M38" s="179"/>
    </row>
    <row r="39" spans="1:13">
      <c r="A39" s="4">
        <f t="shared" si="1"/>
        <v>17</v>
      </c>
      <c r="B39" s="1"/>
      <c r="C39" s="355" t="s">
        <v>976</v>
      </c>
      <c r="D39" s="15"/>
      <c r="E39" s="775">
        <v>0</v>
      </c>
      <c r="F39" s="13"/>
      <c r="G39" s="1"/>
      <c r="H39" s="1"/>
      <c r="I39" s="1"/>
      <c r="J39" s="1"/>
      <c r="K39" s="179"/>
      <c r="L39" s="179"/>
      <c r="M39" s="179"/>
    </row>
    <row r="40" spans="1:13">
      <c r="A40" s="4">
        <f t="shared" si="1"/>
        <v>18</v>
      </c>
      <c r="B40" s="1"/>
      <c r="C40" s="355" t="s">
        <v>977</v>
      </c>
      <c r="D40" s="1"/>
      <c r="E40" s="775">
        <v>0</v>
      </c>
      <c r="F40" s="13"/>
      <c r="G40" s="1"/>
      <c r="H40" s="1"/>
      <c r="I40" s="1"/>
      <c r="J40" s="1"/>
      <c r="K40" s="179"/>
      <c r="L40" s="179"/>
      <c r="M40" s="179"/>
    </row>
    <row r="41" spans="1:13" s="1" customFormat="1" ht="15.75">
      <c r="A41" s="4">
        <f t="shared" si="1"/>
        <v>19</v>
      </c>
      <c r="C41" s="433" t="s">
        <v>455</v>
      </c>
      <c r="E41" s="667">
        <f>SUM(E34:E40)</f>
        <v>0</v>
      </c>
      <c r="K41" s="179"/>
      <c r="L41" s="179"/>
      <c r="M41" s="179"/>
    </row>
    <row r="42" spans="1:13" s="1" customFormat="1">
      <c r="A42" s="4"/>
      <c r="E42" s="597"/>
      <c r="K42" s="179"/>
      <c r="L42" s="179"/>
      <c r="M42" s="179"/>
    </row>
    <row r="43" spans="1:13" ht="15.75">
      <c r="A43" s="4">
        <f>1+A41</f>
        <v>20</v>
      </c>
      <c r="B43" s="433" t="s">
        <v>456</v>
      </c>
      <c r="C43" s="433"/>
      <c r="D43" s="1"/>
      <c r="E43" s="668">
        <f>+E29+E41</f>
        <v>31733663</v>
      </c>
      <c r="F43" s="1"/>
      <c r="G43" s="1"/>
      <c r="H43" s="1"/>
      <c r="I43" s="1"/>
      <c r="J43" s="1"/>
      <c r="K43" s="179"/>
      <c r="L43" s="179"/>
      <c r="M43" s="179"/>
    </row>
    <row r="44" spans="1:13">
      <c r="A44" s="4"/>
      <c r="B44" s="1"/>
      <c r="C44" s="1"/>
      <c r="D44" s="1"/>
      <c r="E44" s="597"/>
      <c r="F44" s="1"/>
      <c r="G44" s="1"/>
      <c r="H44" s="1"/>
      <c r="I44" s="1"/>
      <c r="J44" s="1"/>
      <c r="K44" s="179"/>
      <c r="L44" s="179"/>
      <c r="M44" s="179"/>
    </row>
    <row r="45" spans="1:13" ht="15.75">
      <c r="A45" s="4">
        <f>1+A43</f>
        <v>21</v>
      </c>
      <c r="B45" s="832" t="s">
        <v>963</v>
      </c>
      <c r="C45" s="832"/>
      <c r="D45" s="669"/>
      <c r="E45" s="596">
        <v>0</v>
      </c>
      <c r="F45" s="30"/>
      <c r="G45" s="30"/>
      <c r="H45" s="30"/>
      <c r="I45" s="1"/>
      <c r="J45" s="1"/>
      <c r="K45" s="179"/>
      <c r="L45" s="179"/>
      <c r="M45" s="179"/>
    </row>
    <row r="46" spans="1:13">
      <c r="A46" s="1"/>
      <c r="B46" s="1"/>
      <c r="C46" s="670"/>
      <c r="D46" s="670"/>
      <c r="E46" s="586"/>
      <c r="F46" s="30"/>
      <c r="G46" s="30"/>
      <c r="H46" s="30"/>
      <c r="I46" s="1"/>
      <c r="J46" s="1"/>
      <c r="K46" s="179"/>
      <c r="L46" s="179"/>
      <c r="M46" s="179"/>
    </row>
    <row r="47" spans="1:13">
      <c r="A47" s="4">
        <f>1+A45</f>
        <v>22</v>
      </c>
      <c r="B47" s="1"/>
      <c r="C47" s="670" t="s">
        <v>457</v>
      </c>
      <c r="D47" s="670"/>
      <c r="E47" s="671">
        <f>+E43-E45</f>
        <v>31733663</v>
      </c>
      <c r="F47" s="1"/>
      <c r="G47" s="30"/>
      <c r="H47" s="30"/>
      <c r="I47" s="1"/>
      <c r="J47" s="1"/>
      <c r="K47" s="179"/>
      <c r="L47" s="179"/>
      <c r="M47" s="179"/>
    </row>
    <row r="48" spans="1:13">
      <c r="A48" s="1"/>
      <c r="B48" s="1"/>
      <c r="C48" s="670"/>
      <c r="D48" s="670"/>
      <c r="E48" s="672"/>
      <c r="F48" s="30"/>
      <c r="G48" s="30"/>
      <c r="H48" s="30"/>
      <c r="I48" s="1"/>
      <c r="J48" s="1"/>
      <c r="K48" s="1"/>
      <c r="L48" s="1"/>
      <c r="M48" s="1"/>
    </row>
    <row r="49" spans="2:8">
      <c r="B49" s="1"/>
      <c r="C49" s="670"/>
      <c r="D49" s="670"/>
      <c r="E49" s="672"/>
      <c r="F49" s="30"/>
      <c r="G49" s="30"/>
      <c r="H49" s="30"/>
    </row>
    <row r="50" spans="2:8">
      <c r="B50" s="1"/>
      <c r="C50" s="670"/>
      <c r="D50" s="670"/>
      <c r="E50" s="672"/>
      <c r="F50" s="30"/>
      <c r="G50" s="30"/>
      <c r="H50" s="30"/>
    </row>
    <row r="51" spans="2:8">
      <c r="B51" s="1"/>
      <c r="C51" s="670"/>
      <c r="D51" s="670"/>
      <c r="E51" s="672"/>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topLeftCell="A6" zoomScale="75" zoomScaleNormal="75" workbookViewId="0">
      <selection activeCell="F21" sqref="F21"/>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7" ht="18">
      <c r="A1" s="31"/>
      <c r="B1" s="18"/>
      <c r="C1" s="18"/>
      <c r="D1" s="32"/>
    </row>
    <row r="2" spans="1:7" ht="18">
      <c r="A2" s="904" t="str">
        <f>+'Appendix A'!A3</f>
        <v>Dayton Power and Light</v>
      </c>
      <c r="B2" s="904"/>
      <c r="C2" s="904"/>
      <c r="D2" s="904"/>
    </row>
    <row r="3" spans="1:7" ht="18">
      <c r="A3" s="904" t="str">
        <f>+'Appendix A'!A4</f>
        <v xml:space="preserve">ATTACHMENT H-15A </v>
      </c>
      <c r="B3" s="904"/>
      <c r="C3" s="904"/>
      <c r="D3" s="904"/>
      <c r="E3" s="627"/>
    </row>
    <row r="4" spans="1:7" ht="18">
      <c r="A4" s="904" t="s">
        <v>998</v>
      </c>
      <c r="B4" s="904"/>
      <c r="C4" s="904"/>
      <c r="D4" s="904"/>
    </row>
    <row r="5" spans="1:7">
      <c r="B5" s="13"/>
      <c r="C5" s="4"/>
    </row>
    <row r="6" spans="1:7">
      <c r="A6" s="2" t="s">
        <v>411</v>
      </c>
      <c r="B6" s="13"/>
      <c r="C6" s="4"/>
      <c r="D6" s="7"/>
    </row>
    <row r="7" spans="1:7">
      <c r="B7" s="13"/>
      <c r="C7" s="4"/>
      <c r="D7" s="10"/>
    </row>
    <row r="8" spans="1:7">
      <c r="B8" s="13"/>
      <c r="C8" s="4"/>
    </row>
    <row r="9" spans="1:7" ht="15" customHeight="1">
      <c r="C9" s="4"/>
      <c r="D9" s="434"/>
    </row>
    <row r="10" spans="1:7" ht="15.75">
      <c r="B10" s="435" t="s">
        <v>458</v>
      </c>
      <c r="C10" s="4"/>
      <c r="D10" s="598"/>
    </row>
    <row r="11" spans="1:7">
      <c r="A11" s="4">
        <v>1</v>
      </c>
      <c r="B11" s="2" t="s">
        <v>459</v>
      </c>
      <c r="C11" s="4"/>
      <c r="D11" s="784">
        <v>0</v>
      </c>
      <c r="E11" s="71" t="s">
        <v>460</v>
      </c>
    </row>
    <row r="12" spans="1:7" ht="15.75">
      <c r="B12" s="435"/>
      <c r="C12" s="4"/>
      <c r="D12" s="782"/>
    </row>
    <row r="13" spans="1:7" ht="15.75">
      <c r="B13" s="433" t="s">
        <v>461</v>
      </c>
      <c r="D13" s="782"/>
    </row>
    <row r="14" spans="1:7">
      <c r="A14" s="4">
        <f>+A11+1</f>
        <v>2</v>
      </c>
      <c r="B14" s="1" t="s">
        <v>462</v>
      </c>
      <c r="D14" s="91">
        <v>-28666</v>
      </c>
      <c r="E14" s="71" t="s">
        <v>460</v>
      </c>
      <c r="G14" s="71"/>
    </row>
    <row r="15" spans="1:7">
      <c r="A15" s="4">
        <f>+A14+1</f>
        <v>3</v>
      </c>
      <c r="B15" s="1" t="s">
        <v>463</v>
      </c>
      <c r="D15" s="91">
        <v>0</v>
      </c>
      <c r="E15" s="71" t="s">
        <v>460</v>
      </c>
    </row>
    <row r="16" spans="1:7">
      <c r="A16" s="4">
        <f t="shared" ref="A16:A17" si="0">+A15+1</f>
        <v>4</v>
      </c>
      <c r="B16" s="1" t="s">
        <v>464</v>
      </c>
      <c r="D16" s="91">
        <v>0</v>
      </c>
      <c r="E16" s="71" t="s">
        <v>460</v>
      </c>
    </row>
    <row r="17" spans="1:39">
      <c r="A17" s="4">
        <f t="shared" si="0"/>
        <v>5</v>
      </c>
      <c r="B17" s="1" t="s">
        <v>465</v>
      </c>
      <c r="D17" s="785">
        <v>0</v>
      </c>
      <c r="E17" s="71" t="s">
        <v>460</v>
      </c>
    </row>
    <row r="18" spans="1:39">
      <c r="A18" s="4">
        <f>+A17+1</f>
        <v>6</v>
      </c>
      <c r="B18" s="1" t="s">
        <v>466</v>
      </c>
      <c r="D18" s="783">
        <f>+SUM(D14:D17)</f>
        <v>-28666</v>
      </c>
      <c r="E18" s="71"/>
    </row>
    <row r="19" spans="1:39">
      <c r="D19" s="782"/>
      <c r="E19" s="71"/>
    </row>
    <row r="20" spans="1:39" s="16" customFormat="1" ht="15.75">
      <c r="A20" s="4"/>
      <c r="B20" s="433" t="s">
        <v>467</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468</v>
      </c>
      <c r="C21" s="15"/>
      <c r="D21" s="91">
        <v>-1260339</v>
      </c>
      <c r="E21" s="71" t="s">
        <v>460</v>
      </c>
      <c r="F21" s="842" t="s">
        <v>1034</v>
      </c>
      <c r="G21" s="843"/>
      <c r="H21" s="842"/>
      <c r="I21" s="842"/>
      <c r="J21" s="842"/>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469</v>
      </c>
      <c r="C22" s="1"/>
      <c r="D22" s="91">
        <v>0</v>
      </c>
      <c r="E22" s="71" t="s">
        <v>460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470</v>
      </c>
      <c r="C23" s="1"/>
      <c r="D23" s="91">
        <v>0</v>
      </c>
      <c r="E23" s="71" t="s">
        <v>460</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471</v>
      </c>
      <c r="D24" s="91">
        <v>0</v>
      </c>
      <c r="E24" s="71" t="s">
        <v>460</v>
      </c>
    </row>
    <row r="25" spans="1:39">
      <c r="A25" s="4">
        <f>+A24+1</f>
        <v>11</v>
      </c>
      <c r="B25" s="1" t="s">
        <v>472</v>
      </c>
      <c r="D25" s="785">
        <f>-7334-93424</f>
        <v>-100758</v>
      </c>
      <c r="E25" s="71" t="s">
        <v>460</v>
      </c>
    </row>
    <row r="26" spans="1:39">
      <c r="A26" s="4">
        <f>+A25+1</f>
        <v>12</v>
      </c>
      <c r="B26" s="1" t="s">
        <v>473</v>
      </c>
      <c r="D26" s="91">
        <f>+SUM(D21:D25)</f>
        <v>-1361097</v>
      </c>
      <c r="E26" s="71"/>
    </row>
    <row r="27" spans="1:39" ht="30" customHeight="1">
      <c r="B27" s="433" t="s">
        <v>474</v>
      </c>
      <c r="D27" s="91"/>
      <c r="E27" s="71"/>
    </row>
    <row r="28" spans="1:39" ht="45">
      <c r="A28" s="432">
        <f>+A26+1</f>
        <v>13</v>
      </c>
      <c r="B28" s="15" t="s">
        <v>475</v>
      </c>
      <c r="C28" s="15"/>
      <c r="D28" s="784">
        <v>0</v>
      </c>
      <c r="E28" s="71" t="s">
        <v>460</v>
      </c>
    </row>
    <row r="29" spans="1:39">
      <c r="A29" s="4">
        <f>+A28+1</f>
        <v>14</v>
      </c>
      <c r="B29" s="1" t="s">
        <v>476</v>
      </c>
      <c r="C29" s="15"/>
      <c r="D29" s="91">
        <v>-885687</v>
      </c>
      <c r="E29" s="71" t="s">
        <v>460</v>
      </c>
    </row>
    <row r="30" spans="1:39">
      <c r="A30" s="4">
        <f>+A29+1</f>
        <v>15</v>
      </c>
      <c r="B30" s="1" t="s">
        <v>477</v>
      </c>
      <c r="C30" s="15"/>
      <c r="D30" s="691">
        <f>+D28+D29</f>
        <v>-885687</v>
      </c>
      <c r="E30" s="71"/>
    </row>
    <row r="31" spans="1:39" ht="30">
      <c r="A31" s="4">
        <f>+A29+1</f>
        <v>15</v>
      </c>
      <c r="B31" s="1" t="s">
        <v>478</v>
      </c>
      <c r="C31" s="436" t="str">
        <f>"(Sum of Lines "&amp;A11&amp;", "&amp;A18&amp;", "&amp;A26&amp;" and "&amp;A30&amp;")"</f>
        <v>(Sum of Lines 1, 6, 12 and 15)</v>
      </c>
      <c r="D31" s="342">
        <f>+D11+D18+D26+D30</f>
        <v>-2275450</v>
      </c>
      <c r="G31" s="19"/>
    </row>
    <row r="32" spans="1:39">
      <c r="D32" s="599"/>
      <c r="E32" s="71"/>
      <c r="F32" s="71"/>
      <c r="G32" s="71"/>
      <c r="H32" s="71"/>
      <c r="I32" s="71"/>
      <c r="J32" s="71"/>
      <c r="K32" s="71"/>
      <c r="L32" s="71"/>
      <c r="M32" s="71"/>
      <c r="N32" s="71"/>
      <c r="O32" s="71"/>
    </row>
    <row r="33" spans="1:16" ht="15.75">
      <c r="A33" s="4">
        <f>+A31+1</f>
        <v>16</v>
      </c>
      <c r="B33" s="1" t="s">
        <v>479</v>
      </c>
      <c r="D33" s="600">
        <f>+D37</f>
        <v>0</v>
      </c>
      <c r="E33" s="73"/>
      <c r="F33" s="73"/>
      <c r="G33" s="73"/>
      <c r="H33" s="73"/>
      <c r="I33" s="73"/>
      <c r="J33" s="73"/>
      <c r="K33" s="73"/>
      <c r="L33" s="73"/>
      <c r="M33" s="73"/>
      <c r="N33" s="73"/>
      <c r="O33" s="73"/>
    </row>
    <row r="34" spans="1:16" ht="15.75">
      <c r="A34" s="4">
        <f>A33+1</f>
        <v>17</v>
      </c>
      <c r="B34" s="1" t="s">
        <v>480</v>
      </c>
      <c r="C34" s="436" t="str">
        <f>"(Line "&amp;A31&amp;" - "&amp;A33&amp;")"</f>
        <v>(Line 15 - 16)</v>
      </c>
      <c r="D34" s="48">
        <f>+D31-D33</f>
        <v>-2275450</v>
      </c>
      <c r="E34" s="79"/>
      <c r="F34" s="73"/>
      <c r="G34" s="73"/>
      <c r="H34" s="73"/>
      <c r="I34" s="73"/>
      <c r="J34" s="79"/>
      <c r="K34" s="73"/>
      <c r="L34" s="73"/>
      <c r="M34" s="73"/>
      <c r="N34" s="73"/>
      <c r="O34" s="73"/>
    </row>
    <row r="35" spans="1:16" ht="15.75">
      <c r="B35" s="11"/>
      <c r="D35" s="599"/>
      <c r="E35" s="5"/>
      <c r="F35" s="5"/>
      <c r="G35" s="5"/>
      <c r="H35" s="5"/>
      <c r="I35" s="5"/>
      <c r="J35" s="5"/>
      <c r="K35" s="71"/>
      <c r="L35" s="71"/>
      <c r="M35" s="71"/>
      <c r="N35" s="71"/>
      <c r="O35" s="71"/>
    </row>
    <row r="36" spans="1:16" ht="28.9" customHeight="1">
      <c r="A36" s="432">
        <f>A34+1</f>
        <v>18</v>
      </c>
      <c r="B36" s="762" t="s">
        <v>481</v>
      </c>
      <c r="C36" s="436" t="str">
        <f>"(Sum of Lines "&amp;A14&amp;" , "&amp;A15&amp;" , "&amp;A16&amp;", "&amp;A22&amp;" and "&amp;A24&amp;")"</f>
        <v>(Sum of Lines 2 , 3 , 4, 8 and 10)</v>
      </c>
      <c r="D36" s="601">
        <v>0</v>
      </c>
      <c r="E36" s="71"/>
      <c r="F36" s="71"/>
      <c r="G36" s="71"/>
      <c r="H36" s="71"/>
      <c r="I36" s="71"/>
      <c r="J36" s="71"/>
      <c r="K36" s="71"/>
      <c r="L36" s="71"/>
      <c r="M36" s="71"/>
      <c r="N36" s="71"/>
      <c r="O36" s="71"/>
      <c r="P36" s="71"/>
    </row>
    <row r="37" spans="1:16" ht="15" customHeight="1">
      <c r="A37" s="432">
        <f>+A36+1</f>
        <v>19</v>
      </c>
      <c r="B37" s="762" t="s">
        <v>482</v>
      </c>
      <c r="C37" s="436" t="str">
        <f>"(50% of Line "&amp;A36&amp;")"</f>
        <v>(50% of Line 18)</v>
      </c>
      <c r="D37" s="601">
        <f>+D36*0.5</f>
        <v>0</v>
      </c>
      <c r="E37" s="71"/>
      <c r="F37" s="71"/>
      <c r="G37" s="71"/>
      <c r="H37" s="71"/>
      <c r="I37" s="71"/>
      <c r="J37" s="71"/>
      <c r="K37" s="71"/>
      <c r="L37" s="71"/>
      <c r="M37" s="71"/>
      <c r="N37" s="71"/>
      <c r="O37" s="190"/>
    </row>
    <row r="38" spans="1:16">
      <c r="A38" s="432"/>
      <c r="D38" s="600"/>
      <c r="O38" s="194"/>
    </row>
    <row r="40" spans="1:16" ht="31.9" customHeight="1">
      <c r="A40" s="432" t="s">
        <v>483</v>
      </c>
      <c r="B40" s="906" t="s">
        <v>484</v>
      </c>
      <c r="C40" s="906"/>
      <c r="D40" s="906"/>
    </row>
    <row r="41" spans="1:16" ht="88.9" customHeight="1">
      <c r="A41" s="432" t="s">
        <v>485</v>
      </c>
      <c r="B41" s="907" t="s">
        <v>486</v>
      </c>
      <c r="C41" s="908"/>
      <c r="D41" s="908"/>
    </row>
    <row r="42" spans="1:16">
      <c r="A42" s="4" t="s">
        <v>487</v>
      </c>
      <c r="B42" s="1" t="s">
        <v>488</v>
      </c>
      <c r="O42" s="179"/>
    </row>
    <row r="43" spans="1:16">
      <c r="O43" s="179"/>
    </row>
    <row r="44" spans="1:16">
      <c r="O44" s="179"/>
    </row>
    <row r="45" spans="1:16">
      <c r="O45" s="179"/>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A289" zoomScale="70" zoomScaleNormal="70" zoomScaleSheetLayoutView="40" zoomScalePageLayoutView="50" workbookViewId="0">
      <selection activeCell="A229" sqref="A229"/>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93" t="s">
        <v>0</v>
      </c>
      <c r="B1" s="893"/>
      <c r="C1" s="893"/>
      <c r="D1" s="893"/>
      <c r="E1" s="893"/>
      <c r="F1" s="893"/>
      <c r="G1" s="893"/>
      <c r="H1" s="893"/>
      <c r="I1" s="893"/>
      <c r="J1" s="893"/>
      <c r="K1" s="893"/>
      <c r="L1" s="893"/>
      <c r="M1" s="893"/>
      <c r="N1" s="893"/>
      <c r="O1" s="893"/>
      <c r="P1" s="893"/>
      <c r="Q1" s="893"/>
      <c r="R1" s="893"/>
      <c r="S1" s="893"/>
      <c r="T1" s="893"/>
      <c r="U1" s="893"/>
    </row>
    <row r="2" spans="1:21" ht="21" customHeight="1">
      <c r="A2" s="893" t="str">
        <f>+'Appendix A'!A4</f>
        <v xml:space="preserve">ATTACHMENT H-15A </v>
      </c>
      <c r="B2" s="893"/>
      <c r="C2" s="893"/>
      <c r="D2" s="893"/>
      <c r="E2" s="893"/>
      <c r="F2" s="893"/>
      <c r="G2" s="893"/>
      <c r="H2" s="893"/>
      <c r="I2" s="893"/>
      <c r="J2" s="893"/>
      <c r="K2" s="893"/>
      <c r="L2" s="893"/>
      <c r="M2" s="893"/>
      <c r="N2" s="893"/>
      <c r="O2" s="893"/>
      <c r="P2" s="893"/>
      <c r="Q2" s="893"/>
      <c r="R2" s="893"/>
      <c r="S2" s="893"/>
      <c r="T2" s="893"/>
      <c r="U2" s="893"/>
    </row>
    <row r="3" spans="1:21" ht="21" customHeight="1">
      <c r="A3" s="893" t="s">
        <v>999</v>
      </c>
      <c r="B3" s="893"/>
      <c r="C3" s="893"/>
      <c r="D3" s="893"/>
      <c r="E3" s="893"/>
      <c r="F3" s="893"/>
      <c r="G3" s="893"/>
      <c r="H3" s="893"/>
      <c r="I3" s="893"/>
      <c r="J3" s="893"/>
      <c r="K3" s="893"/>
      <c r="L3" s="893"/>
      <c r="M3" s="893"/>
      <c r="N3" s="893"/>
      <c r="O3" s="893"/>
      <c r="P3" s="893"/>
      <c r="Q3" s="893"/>
      <c r="R3" s="893"/>
      <c r="S3" s="893"/>
      <c r="T3" s="893"/>
      <c r="U3" s="893"/>
    </row>
    <row r="4" spans="1:21" ht="51.6" customHeight="1">
      <c r="A4" s="71" t="s">
        <v>411</v>
      </c>
      <c r="B4" s="79"/>
      <c r="C4" s="79"/>
      <c r="D4" s="79"/>
      <c r="E4" s="79"/>
      <c r="F4" s="79"/>
      <c r="G4" s="79"/>
      <c r="H4" s="79"/>
      <c r="I4" s="79"/>
      <c r="J4" s="79"/>
      <c r="K4" s="79"/>
      <c r="L4" s="79"/>
      <c r="M4" s="79"/>
      <c r="N4" s="79"/>
      <c r="O4" s="79"/>
      <c r="P4" s="79"/>
      <c r="Q4" s="79"/>
      <c r="U4" s="627"/>
    </row>
    <row r="5" spans="1:21" ht="21" customHeight="1">
      <c r="A5" s="75"/>
      <c r="G5" s="76"/>
      <c r="H5" s="76"/>
      <c r="I5" s="76"/>
      <c r="J5" s="76"/>
      <c r="K5" s="77"/>
      <c r="L5" s="76"/>
      <c r="M5" s="76"/>
      <c r="N5" s="76"/>
      <c r="O5" s="177"/>
      <c r="Q5" s="76"/>
      <c r="U5" s="73"/>
    </row>
    <row r="6" spans="1:21" ht="16.5" thickBot="1">
      <c r="A6" s="78" t="s">
        <v>489</v>
      </c>
      <c r="B6" s="72"/>
      <c r="E6" s="76"/>
      <c r="F6" s="76"/>
      <c r="G6" s="534" t="s">
        <v>490</v>
      </c>
      <c r="H6" s="919" t="s">
        <v>355</v>
      </c>
      <c r="I6" s="919"/>
      <c r="J6" s="919"/>
      <c r="K6" s="919"/>
      <c r="L6" s="919"/>
      <c r="M6" s="919"/>
      <c r="N6" s="919"/>
      <c r="O6" s="919"/>
      <c r="P6" s="919"/>
      <c r="Q6" s="919"/>
      <c r="R6" s="919"/>
      <c r="S6" s="920"/>
    </row>
    <row r="7" spans="1:21" ht="32.1" customHeight="1" thickBot="1">
      <c r="A7" s="118" t="s">
        <v>491</v>
      </c>
      <c r="B7" s="119" t="s">
        <v>492</v>
      </c>
      <c r="C7" s="119"/>
      <c r="D7" s="119"/>
      <c r="E7" s="121" t="s">
        <v>493</v>
      </c>
      <c r="F7" s="767" t="s">
        <v>494</v>
      </c>
      <c r="G7" s="82" t="s">
        <v>495</v>
      </c>
      <c r="H7" s="120" t="s">
        <v>496</v>
      </c>
      <c r="I7" s="120" t="s">
        <v>497</v>
      </c>
      <c r="J7" s="120" t="s">
        <v>498</v>
      </c>
      <c r="K7" s="120" t="s">
        <v>499</v>
      </c>
      <c r="L7" s="120" t="s">
        <v>374</v>
      </c>
      <c r="M7" s="120" t="s">
        <v>500</v>
      </c>
      <c r="N7" s="120" t="s">
        <v>501</v>
      </c>
      <c r="O7" s="120" t="s">
        <v>502</v>
      </c>
      <c r="P7" s="120" t="s">
        <v>503</v>
      </c>
      <c r="Q7" s="120" t="s">
        <v>504</v>
      </c>
      <c r="R7" s="120" t="s">
        <v>505</v>
      </c>
      <c r="S7" s="82" t="s">
        <v>506</v>
      </c>
      <c r="T7" s="767" t="s">
        <v>507</v>
      </c>
      <c r="U7" s="187" t="s">
        <v>508</v>
      </c>
    </row>
    <row r="8" spans="1:21" ht="15.75">
      <c r="A8" s="84"/>
      <c r="B8" s="85" t="s">
        <v>13</v>
      </c>
      <c r="C8" s="86"/>
      <c r="D8" s="86"/>
      <c r="E8" s="86"/>
      <c r="F8" s="86"/>
      <c r="H8" s="336"/>
      <c r="I8" s="336"/>
      <c r="J8" s="336"/>
      <c r="K8" s="336"/>
      <c r="L8" s="336"/>
      <c r="M8" s="336"/>
      <c r="N8" s="336"/>
      <c r="O8" s="336"/>
      <c r="P8" s="336"/>
      <c r="Q8" s="336"/>
      <c r="R8" s="336"/>
      <c r="S8" s="91"/>
      <c r="T8" s="88"/>
      <c r="U8" s="184"/>
    </row>
    <row r="9" spans="1:21" ht="15.75">
      <c r="A9" s="89">
        <v>1</v>
      </c>
      <c r="B9" s="73"/>
      <c r="C9" s="71" t="s">
        <v>509</v>
      </c>
      <c r="E9" s="833" t="s">
        <v>964</v>
      </c>
      <c r="F9" s="90"/>
      <c r="G9" s="182">
        <v>3158333022.9211907</v>
      </c>
      <c r="H9" s="182">
        <v>3177474427.6802478</v>
      </c>
      <c r="I9" s="182">
        <v>3190555723.701643</v>
      </c>
      <c r="J9" s="182">
        <v>3253401178.2295809</v>
      </c>
      <c r="K9" s="182">
        <v>3267868785.0800805</v>
      </c>
      <c r="L9" s="182">
        <v>3281477189.8877301</v>
      </c>
      <c r="M9" s="182">
        <v>3336799840.6353755</v>
      </c>
      <c r="N9" s="182">
        <v>3353522524.1301937</v>
      </c>
      <c r="O9" s="182">
        <v>3455366013.569417</v>
      </c>
      <c r="P9" s="182">
        <v>3480333313.8489251</v>
      </c>
      <c r="Q9" s="182">
        <v>3503491599.6029668</v>
      </c>
      <c r="R9" s="182">
        <v>3527370342.2168097</v>
      </c>
      <c r="S9" s="182">
        <v>3643688570.651382</v>
      </c>
      <c r="T9" s="535">
        <f>AVERAGE(G9:S9)</f>
        <v>3356129425.550427</v>
      </c>
      <c r="U9" s="188">
        <v>0</v>
      </c>
    </row>
    <row r="10" spans="1:21" ht="15.75">
      <c r="A10" s="89">
        <f>+A9+1</f>
        <v>2</v>
      </c>
      <c r="B10" s="73"/>
      <c r="C10" s="71" t="s">
        <v>510</v>
      </c>
      <c r="E10" s="71" t="s">
        <v>511</v>
      </c>
      <c r="G10" s="182">
        <v>0</v>
      </c>
      <c r="H10" s="182">
        <v>0</v>
      </c>
      <c r="I10" s="182">
        <v>0</v>
      </c>
      <c r="J10" s="182">
        <v>0</v>
      </c>
      <c r="K10" s="182">
        <v>0</v>
      </c>
      <c r="L10" s="182">
        <v>0</v>
      </c>
      <c r="M10" s="182">
        <v>0</v>
      </c>
      <c r="N10" s="182">
        <v>0</v>
      </c>
      <c r="O10" s="182">
        <v>0</v>
      </c>
      <c r="P10" s="182">
        <v>0</v>
      </c>
      <c r="Q10" s="182">
        <v>0</v>
      </c>
      <c r="R10" s="182">
        <v>0</v>
      </c>
      <c r="S10" s="182">
        <v>0</v>
      </c>
      <c r="T10" s="535">
        <f t="shared" ref="T10:T14" si="0">AVERAGE(G10:S10)</f>
        <v>0</v>
      </c>
      <c r="U10" s="188">
        <v>0</v>
      </c>
    </row>
    <row r="11" spans="1:21" ht="15.75">
      <c r="A11" s="89">
        <f t="shared" ref="A11:A14" si="1">+A10+1</f>
        <v>3</v>
      </c>
      <c r="B11" s="73"/>
      <c r="C11" s="71" t="s">
        <v>15</v>
      </c>
      <c r="E11" s="833" t="s">
        <v>965</v>
      </c>
      <c r="F11" s="90"/>
      <c r="G11" s="182">
        <v>-1306836576.8354599</v>
      </c>
      <c r="H11" s="182">
        <v>-1314298221.2683799</v>
      </c>
      <c r="I11" s="182">
        <v>-1321813710.43273</v>
      </c>
      <c r="J11" s="182">
        <v>-1329367314.5394299</v>
      </c>
      <c r="K11" s="182">
        <v>-1336259340.76618</v>
      </c>
      <c r="L11" s="182">
        <v>-1343243885.31248</v>
      </c>
      <c r="M11" s="182">
        <v>-1346186439.84726</v>
      </c>
      <c r="N11" s="182">
        <v>-1353116941.23226</v>
      </c>
      <c r="O11" s="182">
        <v>-1351526260.4975801</v>
      </c>
      <c r="P11" s="182">
        <v>-1358039374.2856801</v>
      </c>
      <c r="Q11" s="182">
        <v>-1364832754.1637199</v>
      </c>
      <c r="R11" s="182">
        <v>-1371637559.2169299</v>
      </c>
      <c r="S11" s="182">
        <v>-1369383079.9428899</v>
      </c>
      <c r="T11" s="535">
        <f t="shared" si="0"/>
        <v>-1343580112.1800752</v>
      </c>
      <c r="U11" s="188">
        <v>0</v>
      </c>
    </row>
    <row r="12" spans="1:21" ht="15" customHeight="1">
      <c r="A12" s="89">
        <f t="shared" si="1"/>
        <v>4</v>
      </c>
      <c r="C12" s="90" t="s">
        <v>34</v>
      </c>
      <c r="E12" s="834" t="s">
        <v>966</v>
      </c>
      <c r="G12" s="182">
        <v>-38225994.651720397</v>
      </c>
      <c r="H12" s="182">
        <v>-38706624.516452603</v>
      </c>
      <c r="I12" s="182">
        <v>-39194472.417501599</v>
      </c>
      <c r="J12" s="182">
        <v>-39688719.024062298</v>
      </c>
      <c r="K12" s="182">
        <v>-40295304.305440702</v>
      </c>
      <c r="L12" s="182">
        <v>-40902899.383641198</v>
      </c>
      <c r="M12" s="182">
        <v>-41511504.258663803</v>
      </c>
      <c r="N12" s="182">
        <v>-42121118.930508398</v>
      </c>
      <c r="O12" s="182">
        <v>-42731743.3991751</v>
      </c>
      <c r="P12" s="182">
        <v>-43343377.664663799</v>
      </c>
      <c r="Q12" s="182">
        <v>-43956021.726974599</v>
      </c>
      <c r="R12" s="182">
        <v>-44569702.195175499</v>
      </c>
      <c r="S12" s="182">
        <v>-45184419.069266498</v>
      </c>
      <c r="T12" s="535">
        <f>AVERAGE(G12:S12)</f>
        <v>-41571684.734095886</v>
      </c>
      <c r="U12" s="188">
        <v>0</v>
      </c>
    </row>
    <row r="13" spans="1:21">
      <c r="A13" s="89">
        <f t="shared" si="1"/>
        <v>5</v>
      </c>
      <c r="C13" s="90" t="s">
        <v>512</v>
      </c>
      <c r="E13" s="71" t="s">
        <v>511</v>
      </c>
      <c r="G13" s="182">
        <v>0</v>
      </c>
      <c r="H13" s="182">
        <v>0</v>
      </c>
      <c r="I13" s="182">
        <v>0</v>
      </c>
      <c r="J13" s="182">
        <v>0</v>
      </c>
      <c r="K13" s="182">
        <v>0</v>
      </c>
      <c r="L13" s="182">
        <v>0</v>
      </c>
      <c r="M13" s="182">
        <v>0</v>
      </c>
      <c r="N13" s="182">
        <v>0</v>
      </c>
      <c r="O13" s="182">
        <v>0</v>
      </c>
      <c r="P13" s="182">
        <v>0</v>
      </c>
      <c r="Q13" s="182">
        <v>0</v>
      </c>
      <c r="R13" s="182">
        <v>0</v>
      </c>
      <c r="S13" s="182">
        <v>0</v>
      </c>
      <c r="T13" s="535">
        <f t="shared" si="0"/>
        <v>0</v>
      </c>
      <c r="U13" s="188">
        <v>0</v>
      </c>
    </row>
    <row r="14" spans="1:21">
      <c r="A14" s="89">
        <f t="shared" si="1"/>
        <v>6</v>
      </c>
      <c r="C14" s="90" t="s">
        <v>513</v>
      </c>
      <c r="E14" s="71" t="s">
        <v>511</v>
      </c>
      <c r="G14" s="182">
        <v>0</v>
      </c>
      <c r="H14" s="182">
        <v>0</v>
      </c>
      <c r="I14" s="182">
        <v>0</v>
      </c>
      <c r="J14" s="182">
        <v>0</v>
      </c>
      <c r="K14" s="182">
        <v>0</v>
      </c>
      <c r="L14" s="182">
        <v>0</v>
      </c>
      <c r="M14" s="182">
        <v>0</v>
      </c>
      <c r="N14" s="182">
        <v>0</v>
      </c>
      <c r="O14" s="182">
        <v>0</v>
      </c>
      <c r="P14" s="182">
        <v>0</v>
      </c>
      <c r="Q14" s="182">
        <v>0</v>
      </c>
      <c r="R14" s="182">
        <v>0</v>
      </c>
      <c r="S14" s="182">
        <v>0</v>
      </c>
      <c r="T14" s="535">
        <f t="shared" si="0"/>
        <v>0</v>
      </c>
      <c r="U14" s="188">
        <v>0</v>
      </c>
    </row>
    <row r="15" spans="1:21" ht="15.75">
      <c r="A15" s="89"/>
      <c r="B15" s="73"/>
      <c r="E15" s="183"/>
      <c r="F15" s="183"/>
      <c r="G15" s="348"/>
      <c r="H15" s="348"/>
      <c r="I15" s="348"/>
      <c r="J15" s="348"/>
      <c r="K15" s="348"/>
      <c r="L15" s="348"/>
      <c r="M15" s="348"/>
      <c r="N15" s="348"/>
      <c r="O15" s="348"/>
      <c r="P15" s="348"/>
      <c r="Q15" s="348"/>
      <c r="R15" s="348"/>
      <c r="S15" s="348"/>
      <c r="T15" s="535"/>
      <c r="U15" s="196"/>
    </row>
    <row r="16" spans="1:21" ht="15.75">
      <c r="A16" s="89"/>
      <c r="B16" s="73" t="s">
        <v>22</v>
      </c>
      <c r="E16" s="183"/>
      <c r="F16" s="183"/>
      <c r="G16" s="348"/>
      <c r="H16" s="348"/>
      <c r="I16" s="348"/>
      <c r="J16" s="348"/>
      <c r="K16" s="348"/>
      <c r="L16" s="348"/>
      <c r="M16" s="348"/>
      <c r="N16" s="348"/>
      <c r="O16" s="348"/>
      <c r="P16" s="348"/>
      <c r="Q16" s="348"/>
      <c r="R16" s="348"/>
      <c r="S16" s="348"/>
      <c r="T16" s="535"/>
      <c r="U16" s="196"/>
    </row>
    <row r="17" spans="1:21" ht="15.75">
      <c r="A17" s="89">
        <f>+A14+1</f>
        <v>7</v>
      </c>
      <c r="B17" s="73"/>
      <c r="C17" s="71" t="s">
        <v>514</v>
      </c>
      <c r="E17" s="93" t="s">
        <v>515</v>
      </c>
      <c r="F17" s="490" t="s">
        <v>516</v>
      </c>
      <c r="G17" s="786">
        <v>706701038.12709999</v>
      </c>
      <c r="H17" s="786">
        <v>706701038.12709999</v>
      </c>
      <c r="I17" s="786">
        <v>706701038.12709999</v>
      </c>
      <c r="J17" s="786">
        <v>709595563.65469003</v>
      </c>
      <c r="K17" s="786">
        <v>709595563.65469003</v>
      </c>
      <c r="L17" s="786">
        <v>709595563.65469003</v>
      </c>
      <c r="M17" s="786">
        <v>748480368.38460994</v>
      </c>
      <c r="N17" s="786">
        <v>748285489.42096996</v>
      </c>
      <c r="O17" s="786">
        <v>834411336.49606001</v>
      </c>
      <c r="P17" s="786">
        <v>837305862.06000996</v>
      </c>
      <c r="Q17" s="786">
        <v>837305862.10545993</v>
      </c>
      <c r="R17" s="786">
        <v>837305862.10545993</v>
      </c>
      <c r="S17" s="786">
        <v>925909401.70094001</v>
      </c>
      <c r="T17" s="535">
        <f>AVERAGE(G17:S17)</f>
        <v>770607229.81683683</v>
      </c>
      <c r="U17" s="188">
        <v>0</v>
      </c>
    </row>
    <row r="18" spans="1:21" ht="15.75">
      <c r="A18" s="89">
        <f>+A17+1</f>
        <v>8</v>
      </c>
      <c r="B18" s="73"/>
      <c r="C18" s="71" t="s">
        <v>517</v>
      </c>
      <c r="E18" s="71" t="s">
        <v>518</v>
      </c>
      <c r="F18" s="135" t="s">
        <v>519</v>
      </c>
      <c r="G18" s="182">
        <v>43042480.619564719</v>
      </c>
      <c r="H18" s="182">
        <v>45092674.537810661</v>
      </c>
      <c r="I18" s="182">
        <v>46910147.677119002</v>
      </c>
      <c r="J18" s="182">
        <v>78818558.466995895</v>
      </c>
      <c r="K18" s="182">
        <v>79105378.761652574</v>
      </c>
      <c r="L18" s="182">
        <v>79392199.056309253</v>
      </c>
      <c r="M18" s="182">
        <v>79679019.350965932</v>
      </c>
      <c r="N18" s="182">
        <v>79965839.645622611</v>
      </c>
      <c r="O18" s="182">
        <v>80252659.94027929</v>
      </c>
      <c r="P18" s="182">
        <v>80539480.234935969</v>
      </c>
      <c r="Q18" s="182">
        <v>80833858.506174162</v>
      </c>
      <c r="R18" s="182">
        <v>81128236.777412355</v>
      </c>
      <c r="S18" s="182">
        <v>81422615.048650548</v>
      </c>
      <c r="T18" s="535">
        <f t="shared" ref="T18:T20" si="2">AVERAGE(G18:S18)</f>
        <v>72014088.355653301</v>
      </c>
      <c r="U18" s="188">
        <v>0</v>
      </c>
    </row>
    <row r="19" spans="1:21" ht="15.75">
      <c r="A19" s="89">
        <f t="shared" ref="A19:A20" si="3">+A18+1</f>
        <v>9</v>
      </c>
      <c r="B19" s="73"/>
      <c r="C19" s="71" t="s">
        <v>25</v>
      </c>
      <c r="E19" s="71" t="s">
        <v>520</v>
      </c>
      <c r="F19" s="135" t="s">
        <v>521</v>
      </c>
      <c r="G19" s="182">
        <v>61724746.397381976</v>
      </c>
      <c r="H19" s="182">
        <v>62330879.608036853</v>
      </c>
      <c r="I19" s="182">
        <v>62868209.671990253</v>
      </c>
      <c r="J19" s="182">
        <v>72301828.271107912</v>
      </c>
      <c r="K19" s="182">
        <v>72386625.764912769</v>
      </c>
      <c r="L19" s="182">
        <v>72471423.258717626</v>
      </c>
      <c r="M19" s="182">
        <v>72556220.752522483</v>
      </c>
      <c r="N19" s="182">
        <v>72641018.246327341</v>
      </c>
      <c r="O19" s="182">
        <v>72725815.740132198</v>
      </c>
      <c r="P19" s="182">
        <v>72810613.233937055</v>
      </c>
      <c r="Q19" s="182">
        <v>72897645.219109118</v>
      </c>
      <c r="R19" s="182">
        <v>72984677.204281181</v>
      </c>
      <c r="S19" s="182">
        <v>73071709.189453244</v>
      </c>
      <c r="T19" s="535">
        <f t="shared" si="2"/>
        <v>70290108.658300772</v>
      </c>
      <c r="U19" s="188">
        <v>0</v>
      </c>
    </row>
    <row r="20" spans="1:21" ht="15.75">
      <c r="A20" s="89">
        <f t="shared" si="3"/>
        <v>10</v>
      </c>
      <c r="B20" s="73"/>
      <c r="C20" s="71" t="s">
        <v>510</v>
      </c>
      <c r="E20" s="71" t="s">
        <v>511</v>
      </c>
      <c r="F20" s="135"/>
      <c r="G20" s="182">
        <v>0</v>
      </c>
      <c r="H20" s="182">
        <v>0</v>
      </c>
      <c r="I20" s="182">
        <v>0</v>
      </c>
      <c r="J20" s="182">
        <v>0</v>
      </c>
      <c r="K20" s="182">
        <v>0</v>
      </c>
      <c r="L20" s="182">
        <v>0</v>
      </c>
      <c r="M20" s="182">
        <v>0</v>
      </c>
      <c r="N20" s="182">
        <v>0</v>
      </c>
      <c r="O20" s="182">
        <v>0</v>
      </c>
      <c r="P20" s="182">
        <v>0</v>
      </c>
      <c r="Q20" s="182">
        <v>0</v>
      </c>
      <c r="R20" s="182">
        <v>0</v>
      </c>
      <c r="S20" s="182">
        <v>0</v>
      </c>
      <c r="T20" s="535">
        <f t="shared" si="2"/>
        <v>0</v>
      </c>
      <c r="U20" s="188">
        <v>0</v>
      </c>
    </row>
    <row r="21" spans="1:21">
      <c r="A21" s="89"/>
      <c r="B21" s="72"/>
      <c r="C21" s="90"/>
      <c r="E21" s="91"/>
      <c r="F21" s="490"/>
      <c r="G21" s="348"/>
      <c r="H21" s="348"/>
      <c r="I21" s="348"/>
      <c r="J21" s="348"/>
      <c r="K21" s="348"/>
      <c r="L21" s="348"/>
      <c r="M21" s="348"/>
      <c r="N21" s="348"/>
      <c r="O21" s="348"/>
      <c r="P21" s="348"/>
      <c r="Q21" s="348"/>
      <c r="R21" s="348"/>
      <c r="S21" s="348"/>
      <c r="T21" s="535"/>
      <c r="U21" s="188"/>
    </row>
    <row r="22" spans="1:21" ht="15.75">
      <c r="A22" s="89"/>
      <c r="B22" s="73" t="s">
        <v>31</v>
      </c>
      <c r="E22" s="183"/>
      <c r="F22" s="491"/>
      <c r="G22" s="348"/>
      <c r="H22" s="348"/>
      <c r="I22" s="348"/>
      <c r="J22" s="348"/>
      <c r="K22" s="348"/>
      <c r="L22" s="348"/>
      <c r="M22" s="348"/>
      <c r="N22" s="348"/>
      <c r="O22" s="348"/>
      <c r="P22" s="348"/>
      <c r="Q22" s="348"/>
      <c r="R22" s="348"/>
      <c r="S22" s="348"/>
      <c r="T22" s="535"/>
      <c r="U22" s="196"/>
    </row>
    <row r="23" spans="1:21">
      <c r="A23" s="89">
        <f>+A20+1</f>
        <v>11</v>
      </c>
      <c r="B23" s="72"/>
      <c r="C23" s="71" t="s">
        <v>32</v>
      </c>
      <c r="E23" s="90" t="s">
        <v>522</v>
      </c>
      <c r="F23" s="135">
        <v>108</v>
      </c>
      <c r="G23" s="182">
        <v>-240878448.74652499</v>
      </c>
      <c r="H23" s="182">
        <v>-242021701.05596399</v>
      </c>
      <c r="I23" s="182">
        <v>-243164953.365403</v>
      </c>
      <c r="J23" s="182">
        <v>-244308205.67484099</v>
      </c>
      <c r="K23" s="182">
        <v>-245456316.29528499</v>
      </c>
      <c r="L23" s="182">
        <v>-246604426.91572899</v>
      </c>
      <c r="M23" s="182">
        <v>-243859779.306885</v>
      </c>
      <c r="N23" s="182">
        <v>-245092665.390926</v>
      </c>
      <c r="O23" s="182">
        <v>-237683655.54737201</v>
      </c>
      <c r="P23" s="182">
        <v>-238751491.98427299</v>
      </c>
      <c r="Q23" s="182">
        <v>-240113957.713741</v>
      </c>
      <c r="R23" s="182">
        <v>-241476423.447835</v>
      </c>
      <c r="S23" s="182">
        <v>-233968787.858289</v>
      </c>
      <c r="T23" s="535">
        <f t="shared" ref="T23:T25" si="4">AVERAGE(G23:S23)</f>
        <v>-241798524.10023594</v>
      </c>
      <c r="U23" s="188">
        <v>0</v>
      </c>
    </row>
    <row r="24" spans="1:21">
      <c r="A24" s="89">
        <f>+A23+1</f>
        <v>12</v>
      </c>
      <c r="B24" s="72"/>
      <c r="C24" s="71" t="s">
        <v>33</v>
      </c>
      <c r="D24" s="72"/>
      <c r="E24" s="90" t="s">
        <v>523</v>
      </c>
      <c r="F24" s="135">
        <v>108</v>
      </c>
      <c r="G24" s="182">
        <v>-12365981.9522132</v>
      </c>
      <c r="H24" s="182">
        <v>-12483840.447166201</v>
      </c>
      <c r="I24" s="182">
        <v>-12607539.370672701</v>
      </c>
      <c r="J24" s="182">
        <v>-12736415.7663801</v>
      </c>
      <c r="K24" s="182">
        <v>-12956190.2921704</v>
      </c>
      <c r="L24" s="182">
        <v>-13176781.8886893</v>
      </c>
      <c r="M24" s="182">
        <v>-13398190.555936901</v>
      </c>
      <c r="N24" s="182">
        <v>-13620416.2939131</v>
      </c>
      <c r="O24" s="182">
        <v>-13843459.102618</v>
      </c>
      <c r="P24" s="182">
        <v>-14067318.982051499</v>
      </c>
      <c r="Q24" s="182">
        <v>-14291995.932213699</v>
      </c>
      <c r="R24" s="182">
        <v>-14517511.483664</v>
      </c>
      <c r="S24" s="182">
        <v>-14743865.6364026</v>
      </c>
      <c r="T24" s="535">
        <f t="shared" si="4"/>
        <v>-13446885.208007054</v>
      </c>
      <c r="U24" s="188">
        <v>0</v>
      </c>
    </row>
    <row r="25" spans="1:21" ht="16.5" thickBot="1">
      <c r="A25" s="105">
        <f>+A24+1</f>
        <v>13</v>
      </c>
      <c r="B25" s="95"/>
      <c r="C25" s="97" t="s">
        <v>524</v>
      </c>
      <c r="D25" s="97"/>
      <c r="E25" s="97" t="s">
        <v>511</v>
      </c>
      <c r="F25" s="136">
        <v>111</v>
      </c>
      <c r="G25" s="787">
        <v>0</v>
      </c>
      <c r="H25" s="787">
        <v>0</v>
      </c>
      <c r="I25" s="787">
        <v>0</v>
      </c>
      <c r="J25" s="787">
        <v>0</v>
      </c>
      <c r="K25" s="787">
        <v>0</v>
      </c>
      <c r="L25" s="787">
        <v>0</v>
      </c>
      <c r="M25" s="787">
        <v>0</v>
      </c>
      <c r="N25" s="787">
        <v>0</v>
      </c>
      <c r="O25" s="787">
        <v>0</v>
      </c>
      <c r="P25" s="787">
        <v>0</v>
      </c>
      <c r="Q25" s="787">
        <v>0</v>
      </c>
      <c r="R25" s="787">
        <v>0</v>
      </c>
      <c r="S25" s="787">
        <v>0</v>
      </c>
      <c r="T25" s="542">
        <f t="shared" si="4"/>
        <v>0</v>
      </c>
      <c r="U25" s="347">
        <v>0</v>
      </c>
    </row>
    <row r="26" spans="1:21" ht="15.75">
      <c r="A26" s="90"/>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525</v>
      </c>
      <c r="C28" s="90"/>
      <c r="G28" s="100"/>
      <c r="H28" s="100"/>
      <c r="I28" s="100"/>
      <c r="J28" s="100"/>
      <c r="K28" s="100"/>
      <c r="L28" s="100"/>
      <c r="M28" s="100"/>
      <c r="N28" s="100"/>
      <c r="O28" s="12"/>
      <c r="P28" s="12"/>
      <c r="Q28" s="100"/>
      <c r="R28" s="100"/>
      <c r="S28" s="100"/>
      <c r="T28" s="100"/>
      <c r="U28" s="190"/>
    </row>
    <row r="29" spans="1:21" ht="32.25" thickBot="1">
      <c r="A29" s="80" t="s">
        <v>491</v>
      </c>
      <c r="B29" s="81" t="s">
        <v>492</v>
      </c>
      <c r="C29" s="81"/>
      <c r="D29" s="81"/>
      <c r="E29" s="83" t="s">
        <v>493</v>
      </c>
      <c r="F29" s="765" t="s">
        <v>494</v>
      </c>
      <c r="G29" s="101"/>
      <c r="H29" s="101"/>
      <c r="I29" s="101"/>
      <c r="J29" s="101"/>
      <c r="K29" s="101"/>
      <c r="L29" s="101"/>
      <c r="M29" s="101"/>
      <c r="N29" s="101"/>
      <c r="O29" s="101"/>
      <c r="P29" s="101"/>
      <c r="Q29" s="101"/>
      <c r="R29" s="101"/>
      <c r="S29" s="101"/>
      <c r="T29" s="82" t="s">
        <v>526</v>
      </c>
      <c r="U29" s="102"/>
    </row>
    <row r="30" spans="1:21" ht="15.75">
      <c r="A30" s="103"/>
      <c r="B30" s="73"/>
      <c r="C30" s="73"/>
      <c r="D30" s="73"/>
      <c r="E30" s="104"/>
      <c r="F30" s="104"/>
      <c r="T30" s="79"/>
      <c r="U30" s="94"/>
    </row>
    <row r="31" spans="1:21" ht="15.75">
      <c r="A31" s="89">
        <f>+A25+1</f>
        <v>14</v>
      </c>
      <c r="B31" s="78"/>
      <c r="C31" s="90" t="s">
        <v>527</v>
      </c>
      <c r="D31" s="78"/>
      <c r="E31" s="71" t="s">
        <v>528</v>
      </c>
      <c r="G31" s="72"/>
      <c r="T31" s="182">
        <v>50062304</v>
      </c>
      <c r="U31" s="94"/>
    </row>
    <row r="32" spans="1:21" ht="15.75">
      <c r="A32" s="89">
        <f>+A31+1</f>
        <v>15</v>
      </c>
      <c r="B32" s="78"/>
      <c r="C32" s="90" t="s">
        <v>529</v>
      </c>
      <c r="D32" s="78"/>
      <c r="E32" s="71" t="s">
        <v>530</v>
      </c>
      <c r="T32" s="182">
        <v>14168528</v>
      </c>
      <c r="U32" s="94"/>
    </row>
    <row r="33" spans="1:21">
      <c r="A33" s="89">
        <f>+A32+1</f>
        <v>16</v>
      </c>
      <c r="C33" s="90" t="s">
        <v>531</v>
      </c>
      <c r="E33" s="71" t="s">
        <v>532</v>
      </c>
      <c r="T33" s="182">
        <v>4489848</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533</v>
      </c>
      <c r="G37" s="100"/>
    </row>
    <row r="38" spans="1:21" ht="32.25" thickBot="1">
      <c r="A38" s="80" t="s">
        <v>491</v>
      </c>
      <c r="B38" s="81" t="s">
        <v>492</v>
      </c>
      <c r="C38" s="81"/>
      <c r="D38" s="81"/>
      <c r="E38" s="83" t="s">
        <v>493</v>
      </c>
      <c r="F38" s="765" t="s">
        <v>494</v>
      </c>
      <c r="G38" s="101"/>
      <c r="H38" s="101"/>
      <c r="I38" s="101"/>
      <c r="J38" s="101"/>
      <c r="K38" s="101"/>
      <c r="L38" s="101"/>
      <c r="M38" s="101"/>
      <c r="N38" s="101"/>
      <c r="O38" s="101"/>
      <c r="P38" s="101"/>
      <c r="Q38" s="101"/>
      <c r="R38" s="765" t="s">
        <v>534</v>
      </c>
      <c r="S38" s="82" t="s">
        <v>526</v>
      </c>
      <c r="T38" s="765" t="s">
        <v>507</v>
      </c>
      <c r="U38" s="102"/>
    </row>
    <row r="39" spans="1:21" ht="15.75">
      <c r="A39" s="103"/>
      <c r="B39" s="73"/>
      <c r="C39" s="73"/>
      <c r="D39" s="73"/>
      <c r="E39" s="104"/>
      <c r="F39" s="104"/>
      <c r="Q39" s="17"/>
      <c r="R39" s="17"/>
      <c r="S39" s="17"/>
      <c r="T39" s="768"/>
      <c r="U39" s="94"/>
    </row>
    <row r="40" spans="1:21" ht="15.75">
      <c r="A40" s="89">
        <f>+A33+1</f>
        <v>17</v>
      </c>
      <c r="B40" s="72"/>
      <c r="C40" s="447" t="s">
        <v>56</v>
      </c>
      <c r="E40" s="833" t="s">
        <v>967</v>
      </c>
      <c r="F40" s="135">
        <v>105</v>
      </c>
      <c r="G40" s="72"/>
      <c r="Q40" s="17"/>
      <c r="R40" s="182">
        <v>42369</v>
      </c>
      <c r="S40" s="182">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49</v>
      </c>
    </row>
    <row r="45" spans="1:21" ht="32.25" thickBot="1">
      <c r="A45" s="80" t="s">
        <v>491</v>
      </c>
      <c r="B45" s="81" t="s">
        <v>492</v>
      </c>
      <c r="C45" s="81"/>
      <c r="D45" s="81"/>
      <c r="E45" s="121" t="s">
        <v>493</v>
      </c>
      <c r="F45" s="765" t="s">
        <v>494</v>
      </c>
      <c r="G45" s="82" t="s">
        <v>495</v>
      </c>
      <c r="H45" s="120" t="s">
        <v>496</v>
      </c>
      <c r="I45" s="120" t="s">
        <v>497</v>
      </c>
      <c r="J45" s="120" t="s">
        <v>498</v>
      </c>
      <c r="K45" s="120" t="s">
        <v>499</v>
      </c>
      <c r="L45" s="120" t="s">
        <v>374</v>
      </c>
      <c r="M45" s="120" t="s">
        <v>500</v>
      </c>
      <c r="N45" s="120" t="s">
        <v>501</v>
      </c>
      <c r="O45" s="120" t="s">
        <v>502</v>
      </c>
      <c r="P45" s="120" t="s">
        <v>503</v>
      </c>
      <c r="Q45" s="120" t="s">
        <v>504</v>
      </c>
      <c r="R45" s="120" t="s">
        <v>505</v>
      </c>
      <c r="S45" s="82" t="s">
        <v>506</v>
      </c>
      <c r="T45" s="767" t="s">
        <v>507</v>
      </c>
      <c r="U45" s="766"/>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535</v>
      </c>
      <c r="D47" s="17"/>
      <c r="E47" s="90" t="s">
        <v>536</v>
      </c>
      <c r="F47" s="135">
        <v>165</v>
      </c>
      <c r="G47" s="182">
        <v>9858800</v>
      </c>
      <c r="H47" s="182">
        <v>23819404</v>
      </c>
      <c r="I47" s="182">
        <v>30745678</v>
      </c>
      <c r="J47" s="182">
        <v>11177967</v>
      </c>
      <c r="K47" s="182">
        <v>13273377</v>
      </c>
      <c r="L47" s="182">
        <v>19282663</v>
      </c>
      <c r="M47" s="182">
        <v>12416663</v>
      </c>
      <c r="N47" s="182">
        <v>21746810</v>
      </c>
      <c r="O47" s="182">
        <v>21915227</v>
      </c>
      <c r="P47" s="182">
        <v>14577560</v>
      </c>
      <c r="Q47" s="182">
        <v>19096623</v>
      </c>
      <c r="R47" s="182">
        <v>32741618</v>
      </c>
      <c r="S47" s="182">
        <v>19209765</v>
      </c>
      <c r="T47" s="348">
        <f>+AVERAGE(G47:S47)</f>
        <v>19220165.769230768</v>
      </c>
      <c r="U47" s="112"/>
    </row>
    <row r="48" spans="1:21">
      <c r="A48" s="89">
        <f>+A47+1</f>
        <v>19</v>
      </c>
      <c r="B48" s="72"/>
      <c r="C48" s="71" t="s">
        <v>537</v>
      </c>
      <c r="E48" s="90" t="s">
        <v>536</v>
      </c>
      <c r="F48" s="135">
        <v>165</v>
      </c>
      <c r="G48" s="788">
        <v>426127</v>
      </c>
      <c r="H48" s="789">
        <v>253224</v>
      </c>
      <c r="I48" s="789">
        <v>330320</v>
      </c>
      <c r="J48" s="789">
        <v>157416</v>
      </c>
      <c r="K48" s="789">
        <v>0</v>
      </c>
      <c r="L48" s="789">
        <v>0</v>
      </c>
      <c r="M48" s="790">
        <v>1188706</v>
      </c>
      <c r="N48" s="790">
        <v>1015802</v>
      </c>
      <c r="O48" s="789">
        <v>842899</v>
      </c>
      <c r="P48" s="789">
        <v>669995</v>
      </c>
      <c r="Q48" s="789">
        <v>497092</v>
      </c>
      <c r="R48" s="789">
        <v>324188</v>
      </c>
      <c r="S48" s="789">
        <v>151285</v>
      </c>
      <c r="T48" s="348">
        <f t="shared" ref="T48:T50" si="5">+AVERAGE(G48:S48)</f>
        <v>450542.61538461538</v>
      </c>
      <c r="U48" s="112"/>
    </row>
    <row r="49" spans="1:21">
      <c r="A49" s="89">
        <f>+A48+1</f>
        <v>20</v>
      </c>
      <c r="B49" s="72"/>
      <c r="C49" s="71" t="s">
        <v>538</v>
      </c>
      <c r="E49" s="90" t="s">
        <v>536</v>
      </c>
      <c r="F49" s="135">
        <v>165</v>
      </c>
      <c r="G49" s="788">
        <v>0</v>
      </c>
      <c r="H49" s="789">
        <v>0</v>
      </c>
      <c r="I49" s="789">
        <v>0</v>
      </c>
      <c r="J49" s="789">
        <v>0</v>
      </c>
      <c r="K49" s="789">
        <v>0</v>
      </c>
      <c r="L49" s="789">
        <v>0</v>
      </c>
      <c r="M49" s="789">
        <v>0</v>
      </c>
      <c r="N49" s="789">
        <v>0</v>
      </c>
      <c r="O49" s="789">
        <v>0</v>
      </c>
      <c r="P49" s="789">
        <v>0</v>
      </c>
      <c r="Q49" s="789">
        <v>0</v>
      </c>
      <c r="R49" s="789">
        <v>0</v>
      </c>
      <c r="S49" s="789">
        <v>0</v>
      </c>
      <c r="T49" s="348">
        <f t="shared" si="5"/>
        <v>0</v>
      </c>
      <c r="U49" s="112"/>
    </row>
    <row r="50" spans="1:21">
      <c r="A50" s="89">
        <f>+A49+1</f>
        <v>21</v>
      </c>
      <c r="B50" s="72"/>
      <c r="C50" s="71" t="s">
        <v>539</v>
      </c>
      <c r="E50" s="90" t="s">
        <v>536</v>
      </c>
      <c r="F50" s="135">
        <v>165</v>
      </c>
      <c r="G50" s="788">
        <v>0</v>
      </c>
      <c r="H50" s="789">
        <v>0</v>
      </c>
      <c r="I50" s="789">
        <v>0</v>
      </c>
      <c r="J50" s="789">
        <v>0</v>
      </c>
      <c r="K50" s="789">
        <v>0</v>
      </c>
      <c r="L50" s="789">
        <v>0</v>
      </c>
      <c r="M50" s="789">
        <v>0</v>
      </c>
      <c r="N50" s="789">
        <v>0</v>
      </c>
      <c r="O50" s="789">
        <v>0</v>
      </c>
      <c r="P50" s="789">
        <v>0</v>
      </c>
      <c r="Q50" s="789">
        <v>0</v>
      </c>
      <c r="R50" s="789">
        <v>0</v>
      </c>
      <c r="S50" s="789">
        <v>0</v>
      </c>
      <c r="T50" s="348">
        <f t="shared" si="5"/>
        <v>0</v>
      </c>
      <c r="U50" s="112"/>
    </row>
    <row r="51" spans="1:21">
      <c r="A51" s="89">
        <f>+A50+1</f>
        <v>22</v>
      </c>
      <c r="B51" s="72"/>
      <c r="C51" s="71" t="s">
        <v>540</v>
      </c>
      <c r="E51" s="90"/>
      <c r="F51" s="135"/>
      <c r="G51" s="72"/>
      <c r="M51" s="38"/>
      <c r="N51" s="38"/>
      <c r="O51" s="348"/>
      <c r="P51" s="348"/>
      <c r="Q51" s="348"/>
      <c r="R51" s="348"/>
      <c r="S51" s="348"/>
      <c r="T51" s="837">
        <f>+T47-T48-T49-T50</f>
        <v>18769623.153846152</v>
      </c>
      <c r="U51" s="112"/>
    </row>
    <row r="52" spans="1:21" ht="15.75" thickBot="1">
      <c r="A52" s="105"/>
      <c r="B52" s="98"/>
      <c r="C52" s="98"/>
      <c r="D52" s="98"/>
      <c r="E52" s="98"/>
      <c r="F52" s="98"/>
      <c r="G52" s="98"/>
      <c r="H52" s="98"/>
      <c r="I52" s="98"/>
      <c r="J52" s="98"/>
      <c r="K52" s="98"/>
      <c r="L52" s="98"/>
      <c r="M52" s="98"/>
      <c r="N52" s="98"/>
      <c r="O52" s="98"/>
      <c r="P52" s="98"/>
      <c r="Q52" s="98"/>
      <c r="R52" s="98" t="s">
        <v>143</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52</v>
      </c>
      <c r="G55" s="100"/>
      <c r="H55" s="921"/>
      <c r="I55" s="921"/>
      <c r="J55" s="921"/>
      <c r="K55" s="921"/>
      <c r="L55" s="921"/>
      <c r="M55" s="921"/>
      <c r="N55" s="921"/>
      <c r="O55" s="921"/>
      <c r="P55" s="921"/>
      <c r="Q55" s="921"/>
      <c r="R55" s="921"/>
      <c r="S55" s="921"/>
    </row>
    <row r="56" spans="1:21" ht="32.25" thickBot="1">
      <c r="A56" s="80" t="s">
        <v>491</v>
      </c>
      <c r="B56" s="81" t="s">
        <v>492</v>
      </c>
      <c r="C56" s="81"/>
      <c r="D56" s="81"/>
      <c r="E56" s="83" t="s">
        <v>493</v>
      </c>
      <c r="F56" s="765" t="s">
        <v>494</v>
      </c>
      <c r="G56" s="82" t="s">
        <v>495</v>
      </c>
      <c r="H56" s="82" t="s">
        <v>496</v>
      </c>
      <c r="I56" s="82" t="s">
        <v>497</v>
      </c>
      <c r="J56" s="82" t="s">
        <v>498</v>
      </c>
      <c r="K56" s="82" t="s">
        <v>499</v>
      </c>
      <c r="L56" s="82" t="s">
        <v>374</v>
      </c>
      <c r="M56" s="82" t="s">
        <v>500</v>
      </c>
      <c r="N56" s="82" t="s">
        <v>501</v>
      </c>
      <c r="O56" s="82" t="s">
        <v>502</v>
      </c>
      <c r="P56" s="82" t="s">
        <v>503</v>
      </c>
      <c r="Q56" s="82" t="s">
        <v>504</v>
      </c>
      <c r="R56" s="82" t="s">
        <v>505</v>
      </c>
      <c r="S56" s="82" t="s">
        <v>506</v>
      </c>
      <c r="T56" s="765" t="s">
        <v>507</v>
      </c>
      <c r="U56" s="766"/>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541</v>
      </c>
      <c r="E59" s="71" t="s">
        <v>542</v>
      </c>
      <c r="F59" s="135">
        <v>163</v>
      </c>
      <c r="G59" s="788">
        <v>1093644</v>
      </c>
      <c r="H59" s="788">
        <v>88205</v>
      </c>
      <c r="I59" s="788">
        <v>89600</v>
      </c>
      <c r="J59" s="788">
        <v>79386</v>
      </c>
      <c r="K59" s="788">
        <v>74893</v>
      </c>
      <c r="L59" s="788">
        <v>59573</v>
      </c>
      <c r="M59" s="788">
        <v>38097</v>
      </c>
      <c r="N59" s="788">
        <v>30501</v>
      </c>
      <c r="O59" s="788">
        <v>16764</v>
      </c>
      <c r="P59" s="788">
        <v>8978</v>
      </c>
      <c r="Q59" s="788">
        <v>-16528</v>
      </c>
      <c r="R59" s="788">
        <v>-19132</v>
      </c>
      <c r="S59" s="788">
        <v>3117</v>
      </c>
      <c r="T59" s="348">
        <f>AVERAGE(G59:S59)</f>
        <v>119007.53846153847</v>
      </c>
      <c r="U59" s="94"/>
    </row>
    <row r="60" spans="1:21">
      <c r="A60" s="89">
        <f>+A59+1</f>
        <v>24</v>
      </c>
      <c r="C60" s="90" t="s">
        <v>543</v>
      </c>
      <c r="E60" s="71" t="s">
        <v>544</v>
      </c>
      <c r="F60" s="135">
        <v>154</v>
      </c>
      <c r="G60" s="788">
        <v>110837</v>
      </c>
      <c r="H60" s="788">
        <v>96547</v>
      </c>
      <c r="I60" s="788">
        <v>107595</v>
      </c>
      <c r="J60" s="788">
        <v>113879</v>
      </c>
      <c r="K60" s="788">
        <v>113340</v>
      </c>
      <c r="L60" s="788">
        <v>116633</v>
      </c>
      <c r="M60" s="788">
        <v>117161</v>
      </c>
      <c r="N60" s="788">
        <v>122634</v>
      </c>
      <c r="O60" s="788">
        <v>128620</v>
      </c>
      <c r="P60" s="788">
        <v>136696</v>
      </c>
      <c r="Q60" s="788">
        <v>138161</v>
      </c>
      <c r="R60" s="788">
        <v>144151</v>
      </c>
      <c r="S60" s="788">
        <v>175344</v>
      </c>
      <c r="T60" s="348">
        <f t="shared" ref="T60:T61" si="6">AVERAGE(G60:S60)</f>
        <v>124738.30769230769</v>
      </c>
      <c r="U60" s="94"/>
    </row>
    <row r="61" spans="1:21">
      <c r="A61" s="89">
        <f>+A60+1</f>
        <v>25</v>
      </c>
      <c r="C61" s="90" t="s">
        <v>55</v>
      </c>
      <c r="E61" s="71" t="s">
        <v>545</v>
      </c>
      <c r="F61" s="135">
        <v>154</v>
      </c>
      <c r="G61" s="182">
        <v>985615</v>
      </c>
      <c r="H61" s="816">
        <v>1110293</v>
      </c>
      <c r="I61" s="816">
        <v>1237342</v>
      </c>
      <c r="J61" s="816">
        <v>1309609</v>
      </c>
      <c r="K61" s="816">
        <v>1303411</v>
      </c>
      <c r="L61" s="816">
        <v>1341283</v>
      </c>
      <c r="M61" s="816">
        <v>1347353</v>
      </c>
      <c r="N61" s="816">
        <v>1410297</v>
      </c>
      <c r="O61" s="182">
        <v>1479134</v>
      </c>
      <c r="P61" s="182">
        <v>1572002</v>
      </c>
      <c r="Q61" s="182">
        <v>1588855</v>
      </c>
      <c r="R61" s="182">
        <v>1657736</v>
      </c>
      <c r="S61" s="182">
        <v>2016456</v>
      </c>
      <c r="T61" s="348">
        <f t="shared" si="6"/>
        <v>1412260.4615384615</v>
      </c>
      <c r="U61" s="94"/>
    </row>
    <row r="62" spans="1:21" ht="16.5" thickBot="1">
      <c r="A62" s="105"/>
      <c r="B62" s="98"/>
      <c r="C62" s="95"/>
      <c r="D62" s="98"/>
      <c r="E62" s="96"/>
      <c r="F62" s="96"/>
      <c r="G62" s="97"/>
      <c r="H62" s="97"/>
      <c r="I62" s="117"/>
      <c r="J62" s="96"/>
      <c r="K62" s="96"/>
      <c r="L62" s="96"/>
      <c r="M62" s="96"/>
      <c r="N62" s="96"/>
      <c r="O62" s="96"/>
      <c r="P62" s="96"/>
      <c r="Q62" s="96"/>
      <c r="R62" s="96"/>
      <c r="S62" s="97"/>
      <c r="T62" s="909"/>
      <c r="U62" s="910"/>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546</v>
      </c>
      <c r="G65" s="100"/>
    </row>
    <row r="66" spans="1:21" ht="32.25" thickBot="1">
      <c r="A66" s="80" t="s">
        <v>491</v>
      </c>
      <c r="B66" s="81" t="s">
        <v>492</v>
      </c>
      <c r="C66" s="81"/>
      <c r="D66" s="81"/>
      <c r="E66" s="83" t="s">
        <v>493</v>
      </c>
      <c r="F66" s="765" t="s">
        <v>494</v>
      </c>
      <c r="G66" s="101"/>
      <c r="H66" s="101"/>
      <c r="I66" s="101"/>
      <c r="J66" s="101"/>
      <c r="K66" s="101"/>
      <c r="L66" s="101"/>
      <c r="M66" s="101"/>
      <c r="N66" s="101"/>
      <c r="O66" s="101"/>
      <c r="P66" s="101"/>
      <c r="Q66" s="101"/>
      <c r="R66" s="101"/>
      <c r="S66" s="82" t="s">
        <v>526</v>
      </c>
      <c r="T66" s="661"/>
      <c r="U66" s="102"/>
    </row>
    <row r="67" spans="1:21">
      <c r="A67" s="89">
        <f>+A61+1</f>
        <v>26</v>
      </c>
      <c r="C67" s="90" t="s">
        <v>77</v>
      </c>
      <c r="E67" s="91" t="s">
        <v>547</v>
      </c>
      <c r="F67" s="490" t="s">
        <v>548</v>
      </c>
      <c r="G67" s="72"/>
      <c r="S67" s="182">
        <v>87667023</v>
      </c>
      <c r="U67" s="94"/>
    </row>
    <row r="68" spans="1:21">
      <c r="A68" s="89">
        <f>+A67+1</f>
        <v>27</v>
      </c>
      <c r="C68" s="90" t="s">
        <v>549</v>
      </c>
      <c r="E68" s="71" t="s">
        <v>550</v>
      </c>
      <c r="F68" s="135">
        <v>565</v>
      </c>
      <c r="G68" s="72"/>
      <c r="S68" s="182">
        <v>72301759</v>
      </c>
      <c r="U68" s="94"/>
    </row>
    <row r="69" spans="1:21">
      <c r="A69" s="89">
        <f>+A68+1</f>
        <v>28</v>
      </c>
      <c r="C69" s="90" t="s">
        <v>551</v>
      </c>
      <c r="E69" s="71" t="s">
        <v>552</v>
      </c>
      <c r="F69" s="135">
        <v>561.4</v>
      </c>
      <c r="G69" s="72"/>
      <c r="S69" s="182">
        <v>5813874</v>
      </c>
      <c r="U69" s="94"/>
    </row>
    <row r="70" spans="1:21">
      <c r="A70" s="89">
        <f>+A69+1</f>
        <v>29</v>
      </c>
      <c r="C70" s="90" t="s">
        <v>553</v>
      </c>
      <c r="F70" s="135"/>
      <c r="S70" s="348">
        <f>SUM(S68:S69)</f>
        <v>78115633</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554</v>
      </c>
      <c r="G74" s="100"/>
      <c r="H74" s="17"/>
      <c r="I74" s="17"/>
      <c r="J74" s="17"/>
      <c r="K74" s="17"/>
      <c r="L74" s="17"/>
      <c r="M74" s="17"/>
      <c r="N74" s="17"/>
      <c r="O74" s="17"/>
      <c r="P74" s="17"/>
      <c r="Q74" s="17"/>
      <c r="R74" s="17"/>
      <c r="S74" s="17"/>
      <c r="T74" s="34"/>
      <c r="U74" s="92"/>
    </row>
    <row r="75" spans="1:21" ht="32.25" thickBot="1">
      <c r="A75" s="80" t="s">
        <v>491</v>
      </c>
      <c r="B75" s="81" t="s">
        <v>492</v>
      </c>
      <c r="C75" s="81"/>
      <c r="D75" s="81"/>
      <c r="E75" s="83" t="s">
        <v>493</v>
      </c>
      <c r="F75" s="765" t="s">
        <v>494</v>
      </c>
      <c r="G75" s="101"/>
      <c r="H75" s="39"/>
      <c r="I75" s="39"/>
      <c r="J75" s="39"/>
      <c r="K75" s="39"/>
      <c r="L75" s="39"/>
      <c r="M75" s="39"/>
      <c r="N75" s="39"/>
      <c r="O75" s="39"/>
      <c r="P75" s="39"/>
      <c r="Q75" s="39"/>
      <c r="R75" s="39"/>
      <c r="S75" s="82" t="s">
        <v>526</v>
      </c>
      <c r="T75" s="661"/>
      <c r="U75" s="766"/>
    </row>
    <row r="76" spans="1:21">
      <c r="A76" s="89"/>
      <c r="C76" s="90"/>
      <c r="H76" s="17"/>
      <c r="I76" s="17"/>
      <c r="J76" s="17"/>
      <c r="K76" s="17"/>
      <c r="L76" s="17"/>
      <c r="M76" s="17"/>
      <c r="N76" s="17"/>
      <c r="O76" s="17"/>
      <c r="P76" s="17"/>
      <c r="Q76" s="17"/>
      <c r="R76" s="17"/>
      <c r="U76" s="122"/>
    </row>
    <row r="77" spans="1:21" ht="15.75">
      <c r="A77" s="89">
        <f>+A70+1</f>
        <v>30</v>
      </c>
      <c r="B77" s="78"/>
      <c r="C77" s="90" t="s">
        <v>555</v>
      </c>
      <c r="E77" s="71" t="s">
        <v>556</v>
      </c>
      <c r="F77" s="135">
        <v>924</v>
      </c>
      <c r="G77" s="72"/>
      <c r="H77" s="17"/>
      <c r="I77" s="17"/>
      <c r="J77" s="17"/>
      <c r="K77" s="17"/>
      <c r="L77" s="17"/>
      <c r="M77" s="17"/>
      <c r="N77" s="17"/>
      <c r="O77" s="17"/>
      <c r="P77" s="17"/>
      <c r="Q77" s="17"/>
      <c r="R77" s="17"/>
      <c r="S77" s="182">
        <v>4435296</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557</v>
      </c>
    </row>
    <row r="81" spans="1:21" ht="32.25" thickBot="1">
      <c r="A81" s="80" t="s">
        <v>491</v>
      </c>
      <c r="B81" s="81" t="s">
        <v>492</v>
      </c>
      <c r="C81" s="81"/>
      <c r="D81" s="81"/>
      <c r="E81" s="83" t="s">
        <v>493</v>
      </c>
      <c r="F81" s="765" t="s">
        <v>494</v>
      </c>
      <c r="G81" s="82"/>
      <c r="H81" s="82"/>
      <c r="I81" s="82"/>
      <c r="J81" s="82"/>
      <c r="K81" s="82"/>
      <c r="L81" s="82"/>
      <c r="M81" s="82"/>
      <c r="N81" s="82"/>
      <c r="O81" s="82"/>
      <c r="P81" s="82"/>
      <c r="Q81" s="82"/>
      <c r="R81" s="82"/>
      <c r="S81" s="765" t="s">
        <v>526</v>
      </c>
      <c r="T81" s="913"/>
      <c r="U81" s="914"/>
    </row>
    <row r="82" spans="1:21" ht="15.75">
      <c r="A82" s="89"/>
      <c r="B82" s="78"/>
      <c r="C82" s="72"/>
      <c r="D82" s="72"/>
      <c r="E82" s="72"/>
      <c r="F82" s="72"/>
      <c r="G82" s="72"/>
      <c r="H82" s="72"/>
      <c r="I82" s="72"/>
      <c r="J82" s="72"/>
      <c r="K82" s="72"/>
      <c r="L82" s="72"/>
      <c r="M82" s="72"/>
      <c r="N82" s="72"/>
      <c r="O82" s="72"/>
      <c r="P82" s="72"/>
      <c r="Q82" s="72"/>
      <c r="R82" s="72"/>
      <c r="U82" s="94"/>
    </row>
    <row r="83" spans="1:21" s="338" customFormat="1" ht="15.75">
      <c r="A83" s="89">
        <f>+A77+1</f>
        <v>31</v>
      </c>
      <c r="B83" s="72"/>
      <c r="C83" s="90" t="s">
        <v>558</v>
      </c>
      <c r="D83" s="72"/>
      <c r="E83" s="90" t="s">
        <v>559</v>
      </c>
      <c r="F83" s="135" t="s">
        <v>560</v>
      </c>
      <c r="G83" s="72"/>
      <c r="H83" s="337"/>
      <c r="I83" s="337"/>
      <c r="J83" s="337"/>
      <c r="K83" s="337"/>
      <c r="L83" s="337"/>
      <c r="M83" s="337"/>
      <c r="N83" s="337"/>
      <c r="O83" s="337"/>
      <c r="P83" s="337"/>
      <c r="Q83" s="337" t="s">
        <v>561</v>
      </c>
      <c r="R83" s="337"/>
      <c r="S83" s="182">
        <f>+'13 - A&amp;G Detail'!F37+5000000</f>
        <v>79962621</v>
      </c>
      <c r="T83" s="768"/>
      <c r="U83" s="122"/>
    </row>
    <row r="84" spans="1:21">
      <c r="A84" s="89">
        <f>+A83+1</f>
        <v>32</v>
      </c>
      <c r="B84" s="72"/>
      <c r="C84" s="71" t="s">
        <v>562</v>
      </c>
      <c r="D84" s="17"/>
      <c r="E84" s="90" t="s">
        <v>563</v>
      </c>
      <c r="F84" s="135" t="s">
        <v>560</v>
      </c>
      <c r="G84" s="90"/>
      <c r="H84" s="90"/>
      <c r="I84" s="90"/>
      <c r="J84" s="90"/>
      <c r="K84" s="90"/>
      <c r="L84" s="90"/>
      <c r="M84" s="90"/>
      <c r="N84" s="90"/>
      <c r="O84" s="90"/>
      <c r="P84" s="90"/>
      <c r="Q84" s="90"/>
      <c r="R84" s="90"/>
      <c r="S84" s="607">
        <f>+'13 - A&amp;G Detail'!H37+5000000</f>
        <v>12103207</v>
      </c>
      <c r="T84" s="911"/>
      <c r="U84" s="912"/>
    </row>
    <row r="85" spans="1:21" ht="15.75">
      <c r="A85" s="89">
        <f>+A84+1</f>
        <v>33</v>
      </c>
      <c r="B85" s="72"/>
      <c r="C85" s="71" t="s">
        <v>564</v>
      </c>
      <c r="D85" s="17"/>
      <c r="E85" s="90" t="s">
        <v>563</v>
      </c>
      <c r="F85" s="135" t="s">
        <v>560</v>
      </c>
      <c r="G85" s="90"/>
      <c r="H85" s="90"/>
      <c r="I85" s="90"/>
      <c r="J85" s="90"/>
      <c r="K85" s="90"/>
      <c r="L85" s="90"/>
      <c r="M85" s="90"/>
      <c r="N85" s="90"/>
      <c r="O85" s="90"/>
      <c r="P85" s="90"/>
      <c r="Q85" s="90"/>
      <c r="R85" s="90"/>
      <c r="S85" s="607">
        <f>+'13 - A&amp;G Detail'!H37+'13 - A&amp;G Detail'!J37+5000000</f>
        <v>79893540</v>
      </c>
      <c r="T85" s="90"/>
      <c r="U85" s="736"/>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143</v>
      </c>
    </row>
    <row r="89" spans="1:21" ht="16.5" thickBot="1">
      <c r="A89" s="78" t="s">
        <v>565</v>
      </c>
    </row>
    <row r="90" spans="1:21" ht="32.25" thickBot="1">
      <c r="A90" s="80" t="s">
        <v>491</v>
      </c>
      <c r="B90" s="81" t="s">
        <v>492</v>
      </c>
      <c r="C90" s="81"/>
      <c r="D90" s="81"/>
      <c r="E90" s="83" t="s">
        <v>493</v>
      </c>
      <c r="F90" s="765" t="s">
        <v>494</v>
      </c>
      <c r="G90" s="82"/>
      <c r="H90" s="82"/>
      <c r="I90" s="82"/>
      <c r="J90" s="82"/>
      <c r="K90" s="82"/>
      <c r="L90" s="82"/>
      <c r="M90" s="82"/>
      <c r="N90" s="82"/>
      <c r="O90" s="82"/>
      <c r="P90" s="82"/>
      <c r="Q90" s="82"/>
      <c r="R90" s="82"/>
      <c r="S90" s="765" t="s">
        <v>526</v>
      </c>
      <c r="T90" s="765"/>
      <c r="U90" s="766"/>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566</v>
      </c>
      <c r="D92" s="91"/>
      <c r="E92" s="90" t="s">
        <v>567</v>
      </c>
      <c r="F92" s="135">
        <v>928</v>
      </c>
      <c r="G92" s="72"/>
      <c r="H92" s="90"/>
      <c r="I92" s="90"/>
      <c r="J92" s="90"/>
      <c r="K92" s="90"/>
      <c r="L92" s="90"/>
      <c r="M92" s="90"/>
      <c r="N92" s="90"/>
      <c r="O92" s="90"/>
      <c r="P92" s="90"/>
      <c r="Q92" s="90"/>
      <c r="R92" s="90"/>
      <c r="S92" s="182">
        <v>4461687</v>
      </c>
      <c r="T92" s="352"/>
      <c r="U92" s="129"/>
    </row>
    <row r="93" spans="1:21">
      <c r="A93" s="89">
        <f>+A92+1</f>
        <v>35</v>
      </c>
      <c r="B93" s="72"/>
      <c r="C93" s="90" t="s">
        <v>568</v>
      </c>
      <c r="D93" s="72"/>
      <c r="E93" s="90" t="s">
        <v>971</v>
      </c>
      <c r="F93" s="135">
        <v>928</v>
      </c>
      <c r="G93" s="72"/>
      <c r="H93" s="90"/>
      <c r="I93" s="90"/>
      <c r="J93" s="90"/>
      <c r="K93" s="90"/>
      <c r="L93" s="90"/>
      <c r="M93" s="90"/>
      <c r="N93" s="90"/>
      <c r="O93" s="90"/>
      <c r="P93" s="90"/>
      <c r="Q93" s="90"/>
      <c r="R93" s="90"/>
      <c r="S93" s="182">
        <v>137204</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569</v>
      </c>
      <c r="E97" s="90"/>
      <c r="F97" s="90"/>
    </row>
    <row r="98" spans="1:21" ht="32.25" thickBot="1">
      <c r="A98" s="80" t="s">
        <v>491</v>
      </c>
      <c r="B98" s="81" t="s">
        <v>492</v>
      </c>
      <c r="C98" s="81"/>
      <c r="D98" s="81"/>
      <c r="E98" s="83" t="s">
        <v>493</v>
      </c>
      <c r="F98" s="765" t="s">
        <v>494</v>
      </c>
      <c r="G98" s="82"/>
      <c r="H98" s="82"/>
      <c r="I98" s="82"/>
      <c r="J98" s="82"/>
      <c r="K98" s="82"/>
      <c r="L98" s="82"/>
      <c r="M98" s="82"/>
      <c r="N98" s="82"/>
      <c r="O98" s="82"/>
      <c r="P98" s="82"/>
      <c r="Q98" s="82"/>
      <c r="R98" s="82"/>
      <c r="S98" s="765" t="s">
        <v>526</v>
      </c>
      <c r="T98" s="765"/>
      <c r="U98" s="766"/>
    </row>
    <row r="99" spans="1:21" ht="15.75">
      <c r="A99" s="103"/>
      <c r="B99" s="73"/>
      <c r="C99" s="73"/>
      <c r="D99" s="73"/>
      <c r="E99" s="104"/>
      <c r="F99" s="104"/>
      <c r="G99" s="79"/>
      <c r="H99" s="79"/>
      <c r="I99" s="79"/>
      <c r="J99" s="79"/>
      <c r="K99" s="79"/>
      <c r="L99" s="79"/>
      <c r="M99" s="79"/>
      <c r="N99" s="79"/>
      <c r="O99" s="79"/>
      <c r="P99" s="79"/>
      <c r="Q99" s="79"/>
      <c r="R99" s="79"/>
      <c r="S99" s="768"/>
      <c r="T99" s="768"/>
      <c r="U99" s="736"/>
    </row>
    <row r="100" spans="1:21">
      <c r="A100" s="89">
        <f>+A93+1</f>
        <v>36</v>
      </c>
      <c r="B100" s="72"/>
      <c r="C100" s="90" t="s">
        <v>570</v>
      </c>
      <c r="E100" s="71" t="s">
        <v>571</v>
      </c>
      <c r="F100" s="71" t="s">
        <v>572</v>
      </c>
      <c r="G100" s="72"/>
      <c r="H100" s="90"/>
      <c r="I100" s="90"/>
      <c r="J100" s="90"/>
      <c r="K100" s="90"/>
      <c r="L100" s="90"/>
      <c r="M100" s="90"/>
      <c r="N100" s="90"/>
      <c r="O100" s="90"/>
      <c r="P100" s="90"/>
      <c r="Q100" s="90"/>
      <c r="R100" s="90"/>
      <c r="S100" s="791">
        <v>0</v>
      </c>
      <c r="T100" s="352"/>
      <c r="U100" s="132"/>
    </row>
    <row r="101" spans="1:21">
      <c r="A101" s="89">
        <f>+A100+1</f>
        <v>37</v>
      </c>
      <c r="B101" s="72"/>
      <c r="C101" s="90" t="s">
        <v>573</v>
      </c>
      <c r="E101" s="71" t="s">
        <v>574</v>
      </c>
      <c r="F101" s="71" t="s">
        <v>572</v>
      </c>
      <c r="G101" s="72"/>
      <c r="H101" s="90"/>
      <c r="I101" s="90"/>
      <c r="J101" s="90"/>
      <c r="K101" s="90"/>
      <c r="L101" s="90"/>
      <c r="M101" s="90"/>
      <c r="N101" s="90"/>
      <c r="O101" s="90"/>
      <c r="P101" s="90"/>
      <c r="Q101" s="90"/>
      <c r="R101" s="90"/>
      <c r="S101" s="791">
        <v>0</v>
      </c>
      <c r="T101" s="352"/>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7"/>
    </row>
    <row r="105" spans="1:21" ht="16.5" thickBot="1">
      <c r="A105" s="78" t="s">
        <v>575</v>
      </c>
      <c r="G105" s="100"/>
    </row>
    <row r="106" spans="1:21" ht="32.25" thickBot="1">
      <c r="A106" s="80" t="s">
        <v>491</v>
      </c>
      <c r="B106" s="81" t="s">
        <v>492</v>
      </c>
      <c r="C106" s="81"/>
      <c r="D106" s="81"/>
      <c r="E106" s="83" t="s">
        <v>493</v>
      </c>
      <c r="F106" s="765" t="s">
        <v>494</v>
      </c>
      <c r="G106" s="101"/>
      <c r="H106" s="101"/>
      <c r="I106" s="101"/>
      <c r="J106" s="101"/>
      <c r="K106" s="101"/>
      <c r="L106" s="101"/>
      <c r="M106" s="101"/>
      <c r="N106" s="101"/>
      <c r="O106" s="101"/>
      <c r="P106" s="101"/>
      <c r="Q106" s="101"/>
      <c r="R106" s="101"/>
      <c r="S106" s="82" t="s">
        <v>526</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576</v>
      </c>
      <c r="E108" s="71" t="s">
        <v>577</v>
      </c>
      <c r="F108" s="135">
        <v>403</v>
      </c>
      <c r="G108" s="72"/>
      <c r="S108" s="857">
        <v>14745519.818264062</v>
      </c>
      <c r="U108" s="94"/>
    </row>
    <row r="109" spans="1:21" ht="15.75">
      <c r="A109" s="89">
        <f>+A108+1</f>
        <v>39</v>
      </c>
      <c r="B109" s="78"/>
      <c r="C109" s="90" t="s">
        <v>578</v>
      </c>
      <c r="E109" s="71" t="s">
        <v>579</v>
      </c>
      <c r="F109" s="135">
        <v>403</v>
      </c>
      <c r="S109" s="857">
        <v>2377883.6841893797</v>
      </c>
      <c r="U109" s="314"/>
    </row>
    <row r="110" spans="1:21">
      <c r="A110" s="89">
        <f>+A109+1</f>
        <v>40</v>
      </c>
      <c r="B110" s="135"/>
      <c r="C110" s="90" t="s">
        <v>580</v>
      </c>
      <c r="E110" s="71" t="s">
        <v>581</v>
      </c>
      <c r="F110" s="135">
        <v>404</v>
      </c>
      <c r="S110" s="607">
        <v>6958424.4175460394</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582</v>
      </c>
    </row>
    <row r="115" spans="1:21" ht="32.25" thickBot="1">
      <c r="A115" s="80" t="s">
        <v>491</v>
      </c>
      <c r="B115" s="81" t="s">
        <v>492</v>
      </c>
      <c r="C115" s="81"/>
      <c r="D115" s="81"/>
      <c r="E115" s="83" t="s">
        <v>493</v>
      </c>
      <c r="F115" s="765" t="s">
        <v>494</v>
      </c>
      <c r="G115" s="82"/>
      <c r="H115" s="82"/>
      <c r="I115" s="82"/>
      <c r="J115" s="82"/>
      <c r="K115" s="82"/>
      <c r="L115" s="82"/>
      <c r="M115" s="82"/>
      <c r="N115" s="82"/>
      <c r="O115" s="82"/>
      <c r="P115" s="82"/>
      <c r="Q115" s="82"/>
      <c r="R115" s="82"/>
      <c r="S115" s="765" t="s">
        <v>526</v>
      </c>
      <c r="T115" s="765" t="s">
        <v>583</v>
      </c>
      <c r="U115" s="766" t="s">
        <v>584</v>
      </c>
    </row>
    <row r="116" spans="1:21" ht="15.75">
      <c r="A116" s="103"/>
      <c r="B116" s="73"/>
      <c r="C116" s="73"/>
      <c r="D116" s="73"/>
      <c r="E116" s="104"/>
      <c r="F116" s="104"/>
      <c r="G116" s="79"/>
      <c r="H116" s="79"/>
      <c r="I116" s="79"/>
      <c r="J116" s="79"/>
      <c r="K116" s="79"/>
      <c r="L116" s="79"/>
      <c r="M116" s="79"/>
      <c r="N116" s="79"/>
      <c r="O116" s="79"/>
      <c r="P116" s="79"/>
      <c r="Q116" s="79"/>
      <c r="R116" s="79"/>
      <c r="S116" s="768"/>
      <c r="T116" s="768"/>
      <c r="U116" s="736"/>
    </row>
    <row r="117" spans="1:21">
      <c r="A117" s="89">
        <f>+A110+1</f>
        <v>41</v>
      </c>
      <c r="B117" s="72"/>
      <c r="C117" s="90" t="s">
        <v>585</v>
      </c>
      <c r="D117" s="72"/>
      <c r="E117" s="90" t="s">
        <v>586</v>
      </c>
      <c r="F117" s="135">
        <v>408.1</v>
      </c>
      <c r="G117" s="72"/>
      <c r="H117" s="90"/>
      <c r="I117" s="90"/>
      <c r="J117" s="90"/>
      <c r="K117" s="90"/>
      <c r="L117" s="90"/>
      <c r="M117" s="90"/>
      <c r="N117" s="90"/>
      <c r="P117" s="90"/>
      <c r="Q117" s="137"/>
      <c r="R117" s="17"/>
      <c r="S117" s="182">
        <v>29706643</v>
      </c>
      <c r="T117" s="792">
        <f>S117</f>
        <v>29706643</v>
      </c>
      <c r="U117" s="673">
        <v>0</v>
      </c>
    </row>
    <row r="118" spans="1:21">
      <c r="A118" s="89">
        <f>+A117+1</f>
        <v>42</v>
      </c>
      <c r="B118" s="72"/>
      <c r="C118" s="90" t="s">
        <v>587</v>
      </c>
      <c r="D118" s="72"/>
      <c r="E118" s="90" t="s">
        <v>588</v>
      </c>
      <c r="F118" s="135">
        <v>408.1</v>
      </c>
      <c r="G118" s="90"/>
      <c r="H118" s="90"/>
      <c r="I118" s="90"/>
      <c r="J118" s="90"/>
      <c r="K118" s="90"/>
      <c r="L118" s="90"/>
      <c r="M118" s="90"/>
      <c r="N118" s="90"/>
      <c r="P118" s="90"/>
      <c r="Q118" s="137"/>
      <c r="R118" s="17"/>
      <c r="S118" s="182">
        <v>0</v>
      </c>
      <c r="T118" s="793"/>
      <c r="U118" s="673"/>
    </row>
    <row r="119" spans="1:21">
      <c r="A119" s="89">
        <f>+A118+1</f>
        <v>43</v>
      </c>
      <c r="B119" s="72"/>
      <c r="C119" s="90" t="s">
        <v>449</v>
      </c>
      <c r="D119" s="72"/>
      <c r="E119" s="90" t="s">
        <v>589</v>
      </c>
      <c r="F119" s="135">
        <v>408.1</v>
      </c>
      <c r="G119" s="90"/>
      <c r="H119" s="90"/>
      <c r="I119" s="90"/>
      <c r="J119" s="90"/>
      <c r="K119" s="90"/>
      <c r="L119" s="90"/>
      <c r="M119" s="90"/>
      <c r="N119" s="90"/>
      <c r="P119" s="90"/>
      <c r="Q119" s="137"/>
      <c r="R119" s="17"/>
      <c r="S119" s="182">
        <v>627093</v>
      </c>
      <c r="T119" s="182"/>
      <c r="U119" s="673"/>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590</v>
      </c>
    </row>
    <row r="124" spans="1:21" ht="32.25" thickBot="1">
      <c r="A124" s="80" t="s">
        <v>491</v>
      </c>
      <c r="B124" s="81" t="s">
        <v>492</v>
      </c>
      <c r="C124" s="81"/>
      <c r="D124" s="81"/>
      <c r="E124" s="83" t="s">
        <v>493</v>
      </c>
      <c r="F124" s="765" t="s">
        <v>494</v>
      </c>
      <c r="G124" s="101"/>
      <c r="H124" s="101"/>
      <c r="I124" s="101"/>
      <c r="J124" s="82"/>
      <c r="K124" s="82"/>
      <c r="L124" s="82"/>
      <c r="M124" s="82"/>
      <c r="N124" s="82"/>
      <c r="O124" s="82"/>
      <c r="P124" s="82"/>
      <c r="Q124" s="82"/>
      <c r="R124" s="765" t="s">
        <v>591</v>
      </c>
      <c r="S124" s="106" t="s">
        <v>526</v>
      </c>
      <c r="T124" s="765" t="s">
        <v>507</v>
      </c>
      <c r="U124" s="766"/>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592</v>
      </c>
      <c r="E126" s="90" t="s">
        <v>593</v>
      </c>
      <c r="F126" s="135">
        <v>427</v>
      </c>
      <c r="G126" s="72"/>
      <c r="J126" s="92"/>
      <c r="K126" s="353"/>
      <c r="M126" s="353"/>
      <c r="N126" s="353"/>
      <c r="O126" s="353"/>
      <c r="P126" s="348"/>
      <c r="Q126" s="348"/>
      <c r="R126" s="710"/>
      <c r="S126" s="794">
        <v>45210454.823129356</v>
      </c>
      <c r="T126" s="711"/>
      <c r="U126" s="94"/>
    </row>
    <row r="127" spans="1:21" ht="15.75">
      <c r="A127" s="89">
        <f t="shared" ref="A127:A134" si="7">+A126+1</f>
        <v>45</v>
      </c>
      <c r="B127" s="78"/>
      <c r="C127" s="71" t="s">
        <v>594</v>
      </c>
      <c r="E127" s="90" t="s">
        <v>595</v>
      </c>
      <c r="F127" s="135">
        <v>428</v>
      </c>
      <c r="J127" s="92"/>
      <c r="K127" s="353"/>
      <c r="M127" s="353"/>
      <c r="N127" s="353"/>
      <c r="O127" s="353"/>
      <c r="P127" s="348"/>
      <c r="Q127" s="348"/>
      <c r="R127" s="710"/>
      <c r="S127" s="794">
        <v>1366666.6666666667</v>
      </c>
      <c r="T127" s="711"/>
      <c r="U127" s="94"/>
    </row>
    <row r="128" spans="1:21" ht="15.75">
      <c r="A128" s="89">
        <f t="shared" si="7"/>
        <v>46</v>
      </c>
      <c r="B128" s="78"/>
      <c r="C128" s="71" t="s">
        <v>596</v>
      </c>
      <c r="E128" s="90" t="s">
        <v>597</v>
      </c>
      <c r="F128" s="135">
        <v>428.1</v>
      </c>
      <c r="J128" s="92"/>
      <c r="K128" s="353"/>
      <c r="M128" s="353"/>
      <c r="N128" s="353"/>
      <c r="O128" s="353"/>
      <c r="P128" s="348"/>
      <c r="Q128" s="348"/>
      <c r="R128" s="710"/>
      <c r="S128" s="794">
        <v>549361.64000011701</v>
      </c>
      <c r="T128" s="711"/>
      <c r="U128" s="94"/>
    </row>
    <row r="129" spans="1:21" ht="15.75">
      <c r="A129" s="89">
        <f t="shared" si="7"/>
        <v>47</v>
      </c>
      <c r="B129" s="78"/>
      <c r="C129" s="71" t="s">
        <v>598</v>
      </c>
      <c r="E129" s="90" t="s">
        <v>599</v>
      </c>
      <c r="F129" s="135">
        <v>429</v>
      </c>
      <c r="J129" s="92"/>
      <c r="K129" s="353"/>
      <c r="M129" s="353"/>
      <c r="N129" s="353"/>
      <c r="O129" s="353"/>
      <c r="P129" s="348"/>
      <c r="Q129" s="348"/>
      <c r="R129" s="710"/>
      <c r="S129" s="794">
        <v>0</v>
      </c>
      <c r="T129" s="711"/>
      <c r="U129" s="94"/>
    </row>
    <row r="130" spans="1:21" ht="15.75">
      <c r="A130" s="89">
        <f t="shared" si="7"/>
        <v>48</v>
      </c>
      <c r="B130" s="78"/>
      <c r="C130" s="71" t="s">
        <v>600</v>
      </c>
      <c r="E130" s="90" t="s">
        <v>601</v>
      </c>
      <c r="F130" s="135">
        <v>429.1</v>
      </c>
      <c r="J130" s="92"/>
      <c r="K130" s="353"/>
      <c r="M130" s="353"/>
      <c r="N130" s="353"/>
      <c r="O130" s="353"/>
      <c r="P130" s="348"/>
      <c r="Q130" s="348"/>
      <c r="R130" s="710"/>
      <c r="S130" s="794">
        <v>0</v>
      </c>
      <c r="T130" s="711"/>
      <c r="U130" s="94"/>
    </row>
    <row r="131" spans="1:21" ht="15.75">
      <c r="A131" s="89">
        <f t="shared" si="7"/>
        <v>49</v>
      </c>
      <c r="B131" s="78"/>
      <c r="C131" s="71" t="s">
        <v>602</v>
      </c>
      <c r="E131" s="90" t="s">
        <v>603</v>
      </c>
      <c r="F131" s="135">
        <v>430</v>
      </c>
      <c r="J131" s="92"/>
      <c r="K131" s="353"/>
      <c r="M131" s="353"/>
      <c r="N131" s="353"/>
      <c r="O131" s="353"/>
      <c r="P131" s="348"/>
      <c r="Q131" s="348"/>
      <c r="R131" s="710"/>
      <c r="S131" s="794">
        <v>0</v>
      </c>
      <c r="T131" s="711"/>
      <c r="U131" s="94"/>
    </row>
    <row r="132" spans="1:21" ht="15.75">
      <c r="A132" s="89">
        <f>+A131+1</f>
        <v>50</v>
      </c>
      <c r="B132" s="78"/>
      <c r="C132" s="71" t="s">
        <v>604</v>
      </c>
      <c r="E132" s="90"/>
      <c r="F132" s="135"/>
      <c r="J132" s="92"/>
      <c r="K132" s="353"/>
      <c r="M132" s="353"/>
      <c r="N132" s="353"/>
      <c r="O132" s="353"/>
      <c r="P132" s="348"/>
      <c r="Q132" s="348"/>
      <c r="R132" s="710"/>
      <c r="S132" s="714">
        <f>+SUM(S126:S131)</f>
        <v>47126483.12979614</v>
      </c>
      <c r="T132" s="711"/>
      <c r="U132" s="94"/>
    </row>
    <row r="133" spans="1:21" ht="15.75">
      <c r="A133" s="89">
        <f>+A132+1</f>
        <v>51</v>
      </c>
      <c r="B133" s="78"/>
      <c r="C133" s="71" t="s">
        <v>107</v>
      </c>
      <c r="E133" s="91" t="s">
        <v>605</v>
      </c>
      <c r="F133" s="490" t="s">
        <v>606</v>
      </c>
      <c r="J133" s="92"/>
      <c r="K133" s="353"/>
      <c r="M133" s="353"/>
      <c r="N133" s="353"/>
      <c r="O133" s="353"/>
      <c r="P133" s="348"/>
      <c r="Q133" s="348"/>
      <c r="R133" s="793"/>
      <c r="S133" s="794">
        <f>[31]Capitalization!E10</f>
        <v>0</v>
      </c>
      <c r="T133" s="711"/>
      <c r="U133" s="94"/>
    </row>
    <row r="134" spans="1:21">
      <c r="A134" s="89">
        <f t="shared" si="7"/>
        <v>52</v>
      </c>
      <c r="B134" s="72"/>
      <c r="C134" s="91" t="s">
        <v>110</v>
      </c>
      <c r="E134" s="93" t="s">
        <v>607</v>
      </c>
      <c r="F134" s="490" t="s">
        <v>608</v>
      </c>
      <c r="K134" s="116"/>
      <c r="L134" s="90"/>
      <c r="M134" s="38"/>
      <c r="N134" s="38"/>
      <c r="O134" s="38"/>
      <c r="Q134" s="38"/>
      <c r="R134" s="794">
        <v>-1027018431.1418294</v>
      </c>
      <c r="S134" s="794">
        <v>-1223016557.035635</v>
      </c>
      <c r="T134" s="348">
        <f>+(S134+R134)/2</f>
        <v>-1125017494.0887322</v>
      </c>
      <c r="U134" s="112"/>
    </row>
    <row r="135" spans="1:21" ht="15.75">
      <c r="A135" s="89">
        <f t="shared" ref="A135:A143" si="8">+A134+1</f>
        <v>53</v>
      </c>
      <c r="B135" s="72"/>
      <c r="C135" s="91" t="s">
        <v>609</v>
      </c>
      <c r="E135" s="93" t="s">
        <v>610</v>
      </c>
      <c r="F135" s="490">
        <v>219</v>
      </c>
      <c r="K135" s="42"/>
      <c r="L135" s="38"/>
      <c r="M135" s="138"/>
      <c r="N135" s="138"/>
      <c r="O135" s="138"/>
      <c r="P135" s="138"/>
      <c r="Q135" s="17"/>
      <c r="R135" s="794">
        <v>42119727</v>
      </c>
      <c r="S135" s="794">
        <v>38313163.5999</v>
      </c>
      <c r="T135" s="348">
        <f>+(S135+R135)/2</f>
        <v>40216445.299950004</v>
      </c>
      <c r="U135" s="112"/>
    </row>
    <row r="136" spans="1:21" ht="15.75">
      <c r="A136" s="89">
        <f t="shared" si="8"/>
        <v>54</v>
      </c>
      <c r="B136" s="72"/>
      <c r="C136" s="91" t="s">
        <v>611</v>
      </c>
      <c r="E136" s="93" t="s">
        <v>612</v>
      </c>
      <c r="F136" s="135">
        <v>216.1</v>
      </c>
      <c r="K136" s="113"/>
      <c r="L136" s="38"/>
      <c r="R136" s="794">
        <v>0</v>
      </c>
      <c r="S136" s="794">
        <v>0</v>
      </c>
      <c r="T136" s="348">
        <f>+(R136+S136)/2</f>
        <v>0</v>
      </c>
      <c r="U136" s="94"/>
    </row>
    <row r="137" spans="1:21">
      <c r="A137" s="89">
        <f t="shared" si="8"/>
        <v>55</v>
      </c>
      <c r="B137" s="72"/>
      <c r="C137" s="91" t="s">
        <v>114</v>
      </c>
      <c r="E137" s="93" t="s">
        <v>613</v>
      </c>
      <c r="F137" s="490" t="s">
        <v>614</v>
      </c>
      <c r="R137" s="794">
        <v>-1021824385.9674034</v>
      </c>
      <c r="S137" s="794">
        <v>-1021632314.4786396</v>
      </c>
      <c r="T137" s="348">
        <f>+(R137+S137)/2</f>
        <v>-1021728350.2230215</v>
      </c>
      <c r="U137" s="94"/>
    </row>
    <row r="138" spans="1:21">
      <c r="A138" s="89">
        <f>+A137+1</f>
        <v>56</v>
      </c>
      <c r="B138" s="72"/>
      <c r="C138" s="91" t="s">
        <v>615</v>
      </c>
      <c r="E138" s="93" t="s">
        <v>616</v>
      </c>
      <c r="F138" s="490">
        <v>181</v>
      </c>
      <c r="R138" s="794">
        <v>0</v>
      </c>
      <c r="S138" s="794">
        <v>0</v>
      </c>
      <c r="T138" s="348">
        <f>+(R138+S138)/2</f>
        <v>0</v>
      </c>
      <c r="U138" s="94"/>
    </row>
    <row r="139" spans="1:21">
      <c r="A139" s="89">
        <f>+A138+1</f>
        <v>57</v>
      </c>
      <c r="B139" s="72"/>
      <c r="C139" s="91" t="s">
        <v>617</v>
      </c>
      <c r="E139" s="93" t="s">
        <v>618</v>
      </c>
      <c r="F139" s="490">
        <v>189</v>
      </c>
      <c r="R139" s="794">
        <v>1057643.3999999389</v>
      </c>
      <c r="S139" s="794">
        <v>508281.75999982189</v>
      </c>
      <c r="T139" s="348">
        <f>+(S139+R139)/2</f>
        <v>782962.5799998804</v>
      </c>
      <c r="U139" s="94"/>
    </row>
    <row r="140" spans="1:21">
      <c r="A140" s="89">
        <f t="shared" si="8"/>
        <v>58</v>
      </c>
      <c r="B140" s="72"/>
      <c r="C140" s="91" t="s">
        <v>619</v>
      </c>
      <c r="E140" s="93" t="s">
        <v>620</v>
      </c>
      <c r="F140" s="490">
        <v>225</v>
      </c>
      <c r="R140" s="794">
        <v>0</v>
      </c>
      <c r="S140" s="794">
        <v>0</v>
      </c>
      <c r="T140" s="348">
        <f t="shared" ref="T140:T141" si="9">+(S140+R140)/2</f>
        <v>0</v>
      </c>
      <c r="U140" s="94"/>
    </row>
    <row r="141" spans="1:21">
      <c r="A141" s="89">
        <f t="shared" si="8"/>
        <v>59</v>
      </c>
      <c r="B141" s="72"/>
      <c r="C141" s="91" t="s">
        <v>621</v>
      </c>
      <c r="E141" s="93" t="s">
        <v>622</v>
      </c>
      <c r="F141" s="490">
        <v>226</v>
      </c>
      <c r="R141" s="794">
        <v>2505198</v>
      </c>
      <c r="S141" s="794">
        <v>2413823</v>
      </c>
      <c r="T141" s="348">
        <f t="shared" si="9"/>
        <v>2459510.5</v>
      </c>
      <c r="U141" s="94"/>
    </row>
    <row r="142" spans="1:21">
      <c r="A142" s="89">
        <f t="shared" si="8"/>
        <v>60</v>
      </c>
      <c r="B142" s="72"/>
      <c r="C142" s="91" t="s">
        <v>623</v>
      </c>
      <c r="E142" s="93" t="s">
        <v>624</v>
      </c>
      <c r="F142" s="490">
        <v>257</v>
      </c>
      <c r="R142" s="794">
        <v>0</v>
      </c>
      <c r="S142" s="794">
        <v>0</v>
      </c>
      <c r="T142" s="348">
        <f>+(R142+S142)/2</f>
        <v>0</v>
      </c>
      <c r="U142" s="94"/>
    </row>
    <row r="143" spans="1:21">
      <c r="A143" s="89">
        <f t="shared" si="8"/>
        <v>61</v>
      </c>
      <c r="B143" s="72"/>
      <c r="C143" s="91" t="s">
        <v>625</v>
      </c>
      <c r="E143" s="449" t="s">
        <v>626</v>
      </c>
      <c r="F143" s="490" t="s">
        <v>627</v>
      </c>
      <c r="R143" s="795">
        <f>+'1C - ADIT Prior Year'!D78</f>
        <v>-857412</v>
      </c>
      <c r="S143" s="852">
        <f>+'1A - ADIT'!D83</f>
        <v>-385279</v>
      </c>
      <c r="T143" s="348">
        <f>+(R143+S143)/2</f>
        <v>-621345.5</v>
      </c>
      <c r="U143" s="94"/>
    </row>
    <row r="144" spans="1:21">
      <c r="A144" s="89">
        <f>+A143+1</f>
        <v>62</v>
      </c>
      <c r="B144" s="72"/>
      <c r="C144" s="91" t="s">
        <v>628</v>
      </c>
      <c r="E144" s="449" t="s">
        <v>629</v>
      </c>
      <c r="F144" s="490">
        <v>176</v>
      </c>
      <c r="R144" s="794">
        <v>0</v>
      </c>
      <c r="S144" s="794">
        <v>0</v>
      </c>
      <c r="T144" s="348">
        <f t="shared" ref="T144:T145" si="10">+(R144+S144)/2</f>
        <v>0</v>
      </c>
      <c r="U144" s="94"/>
    </row>
    <row r="145" spans="1:21">
      <c r="A145" s="89">
        <f>+A144+1</f>
        <v>63</v>
      </c>
      <c r="B145" s="72"/>
      <c r="C145" s="91" t="s">
        <v>630</v>
      </c>
      <c r="E145" s="449" t="s">
        <v>631</v>
      </c>
      <c r="F145" s="490">
        <v>245</v>
      </c>
      <c r="R145" s="794">
        <v>0</v>
      </c>
      <c r="S145" s="794">
        <v>0</v>
      </c>
      <c r="T145" s="348">
        <f t="shared" si="10"/>
        <v>0</v>
      </c>
      <c r="U145" s="94"/>
    </row>
    <row r="146" spans="1:21" ht="15.75" thickBot="1">
      <c r="A146" s="105">
        <f>+A145+1</f>
        <v>64</v>
      </c>
      <c r="B146" s="98"/>
      <c r="C146" s="139" t="s">
        <v>126</v>
      </c>
      <c r="D146" s="97"/>
      <c r="E146" s="140" t="s">
        <v>632</v>
      </c>
      <c r="F146" s="492">
        <v>204</v>
      </c>
      <c r="G146" s="97"/>
      <c r="H146" s="97"/>
      <c r="I146" s="97"/>
      <c r="J146" s="97"/>
      <c r="K146" s="97"/>
      <c r="L146" s="97"/>
      <c r="M146" s="97"/>
      <c r="N146" s="97"/>
      <c r="O146" s="97"/>
      <c r="P146" s="97"/>
      <c r="Q146" s="97"/>
      <c r="R146" s="796">
        <v>0</v>
      </c>
      <c r="S146" s="796">
        <v>0</v>
      </c>
      <c r="T146" s="715">
        <v>0</v>
      </c>
      <c r="U146" s="99"/>
    </row>
    <row r="148" spans="1:21" ht="15.75">
      <c r="A148" s="73"/>
    </row>
    <row r="149" spans="1:21" ht="16.5" thickBot="1">
      <c r="A149" s="78" t="s">
        <v>633</v>
      </c>
    </row>
    <row r="150" spans="1:21" ht="32.25" thickBot="1">
      <c r="A150" s="80" t="s">
        <v>491</v>
      </c>
      <c r="B150" s="81" t="s">
        <v>492</v>
      </c>
      <c r="C150" s="81"/>
      <c r="D150" s="81"/>
      <c r="E150" s="83" t="s">
        <v>493</v>
      </c>
      <c r="F150" s="765" t="s">
        <v>494</v>
      </c>
      <c r="G150" s="82"/>
      <c r="H150" s="82"/>
      <c r="I150" s="82"/>
      <c r="J150" s="82"/>
      <c r="K150" s="82"/>
      <c r="L150" s="82"/>
      <c r="M150" s="82"/>
      <c r="N150" s="82"/>
      <c r="O150" s="82"/>
      <c r="P150" s="82"/>
      <c r="Q150" s="82"/>
      <c r="R150" s="82"/>
      <c r="S150" s="765" t="s">
        <v>634</v>
      </c>
      <c r="T150" s="765" t="s">
        <v>635</v>
      </c>
      <c r="U150" s="766" t="s">
        <v>636</v>
      </c>
    </row>
    <row r="151" spans="1:21" ht="15.75">
      <c r="A151" s="89" t="s">
        <v>143</v>
      </c>
      <c r="B151" s="141" t="s">
        <v>144</v>
      </c>
      <c r="E151" s="91"/>
      <c r="F151" s="91"/>
      <c r="U151" s="94"/>
    </row>
    <row r="152" spans="1:21" ht="15.75">
      <c r="A152" s="89"/>
      <c r="B152" s="141"/>
      <c r="E152" s="91"/>
      <c r="F152" s="91"/>
      <c r="G152" s="92"/>
      <c r="H152" s="91"/>
      <c r="I152" s="91"/>
      <c r="J152" s="91"/>
      <c r="K152" s="91"/>
      <c r="L152" s="91"/>
      <c r="M152" s="91"/>
      <c r="N152" s="91"/>
      <c r="O152" s="91"/>
      <c r="P152" s="91"/>
      <c r="Q152" s="91"/>
      <c r="R152" s="91"/>
      <c r="S152" s="79" t="s">
        <v>637</v>
      </c>
      <c r="T152" s="79"/>
      <c r="U152" s="130"/>
    </row>
    <row r="153" spans="1:21">
      <c r="A153" s="89">
        <f>+A146+1</f>
        <v>65</v>
      </c>
      <c r="B153" s="72"/>
      <c r="C153" s="90" t="str">
        <f>+'Appendix A'!C212</f>
        <v>SIT=State Income Tax Rate or Composite</v>
      </c>
      <c r="D153" s="142"/>
      <c r="E153" s="90"/>
      <c r="F153" s="90"/>
      <c r="G153" s="90"/>
      <c r="H153" s="90"/>
      <c r="I153" s="90"/>
      <c r="J153" s="90"/>
      <c r="K153" s="90"/>
      <c r="L153" s="90"/>
      <c r="M153" s="90"/>
      <c r="N153" s="90"/>
      <c r="O153" s="90"/>
      <c r="P153" s="90"/>
      <c r="Q153" s="90"/>
      <c r="R153" s="90"/>
      <c r="S153" s="797">
        <v>0</v>
      </c>
      <c r="T153" s="143"/>
      <c r="U153" s="144"/>
    </row>
    <row r="154" spans="1:21" ht="15.75" thickBot="1">
      <c r="A154" s="105">
        <f>+A153+1</f>
        <v>66</v>
      </c>
      <c r="B154" s="97"/>
      <c r="C154" s="97" t="s">
        <v>638</v>
      </c>
      <c r="D154" s="97"/>
      <c r="E154" s="97"/>
      <c r="F154" s="97"/>
      <c r="G154" s="97"/>
      <c r="H154" s="97"/>
      <c r="I154" s="97"/>
      <c r="J154" s="97"/>
      <c r="K154" s="97"/>
      <c r="L154" s="97"/>
      <c r="M154" s="97"/>
      <c r="N154" s="97"/>
      <c r="O154" s="97"/>
      <c r="P154" s="97"/>
      <c r="Q154" s="97"/>
      <c r="R154" s="97"/>
      <c r="S154" s="798">
        <v>1.8200000000000001E-2</v>
      </c>
      <c r="T154" s="97"/>
      <c r="U154" s="99"/>
    </row>
    <row r="157" spans="1:21" ht="16.5" thickBot="1">
      <c r="A157" s="78" t="s">
        <v>639</v>
      </c>
    </row>
    <row r="158" spans="1:21" ht="32.25" thickBot="1">
      <c r="A158" s="80" t="s">
        <v>491</v>
      </c>
      <c r="B158" s="81" t="s">
        <v>492</v>
      </c>
      <c r="C158" s="81"/>
      <c r="D158" s="81"/>
      <c r="E158" s="83" t="s">
        <v>493</v>
      </c>
      <c r="F158" s="765" t="s">
        <v>494</v>
      </c>
      <c r="G158" s="101"/>
      <c r="H158" s="82"/>
      <c r="I158" s="82"/>
      <c r="J158" s="82"/>
      <c r="K158" s="82"/>
      <c r="L158" s="82"/>
      <c r="M158" s="82"/>
      <c r="N158" s="82"/>
      <c r="O158" s="82"/>
      <c r="P158" s="82"/>
      <c r="Q158" s="82"/>
      <c r="R158" s="82"/>
      <c r="S158" s="106" t="s">
        <v>526</v>
      </c>
      <c r="T158" s="913"/>
      <c r="U158" s="914"/>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640</v>
      </c>
      <c r="D160" s="72"/>
      <c r="E160" s="90" t="s">
        <v>641</v>
      </c>
      <c r="F160" s="135">
        <v>411.4</v>
      </c>
      <c r="G160" s="72"/>
      <c r="H160" s="90"/>
      <c r="I160" s="90"/>
      <c r="J160" s="90"/>
      <c r="K160" s="90"/>
      <c r="L160" s="90"/>
      <c r="M160" s="90"/>
      <c r="N160" s="90"/>
      <c r="O160" s="90"/>
      <c r="P160" s="90"/>
      <c r="Q160" s="90"/>
      <c r="R160" s="90"/>
      <c r="S160" s="182">
        <v>-32505</v>
      </c>
      <c r="T160" s="917"/>
      <c r="U160" s="918"/>
    </row>
    <row r="161" spans="1:21" ht="15.75">
      <c r="A161" s="89">
        <f>+A160+1</f>
        <v>68</v>
      </c>
      <c r="B161" s="72"/>
      <c r="C161" s="90" t="s">
        <v>642</v>
      </c>
      <c r="D161" s="72"/>
      <c r="E161" s="90" t="s">
        <v>641</v>
      </c>
      <c r="F161" s="135">
        <v>411.4</v>
      </c>
      <c r="G161" s="72"/>
      <c r="H161" s="90"/>
      <c r="I161" s="90"/>
      <c r="J161" s="90"/>
      <c r="K161" s="90"/>
      <c r="L161" s="90"/>
      <c r="M161" s="90"/>
      <c r="N161" s="90"/>
      <c r="O161" s="90"/>
      <c r="P161" s="90"/>
      <c r="Q161" s="90"/>
      <c r="R161" s="90"/>
      <c r="S161" s="182">
        <v>-2006</v>
      </c>
      <c r="T161" s="917"/>
      <c r="U161" s="918"/>
    </row>
    <row r="162" spans="1:21" ht="16.5" thickBot="1">
      <c r="A162" s="105">
        <f>+A161+1</f>
        <v>69</v>
      </c>
      <c r="B162" s="98"/>
      <c r="C162" s="96" t="s">
        <v>643</v>
      </c>
      <c r="D162" s="98"/>
      <c r="E162" s="835" t="s">
        <v>968</v>
      </c>
      <c r="F162" s="136"/>
      <c r="G162" s="98"/>
      <c r="H162" s="98"/>
      <c r="I162" s="98"/>
      <c r="J162" s="98"/>
      <c r="K162" s="98"/>
      <c r="L162" s="98"/>
      <c r="M162" s="98"/>
      <c r="N162" s="98"/>
      <c r="O162" s="98"/>
      <c r="P162" s="98"/>
      <c r="Q162" s="98"/>
      <c r="R162" s="98"/>
      <c r="S162" s="787">
        <v>320451</v>
      </c>
      <c r="T162" s="763"/>
      <c r="U162" s="764"/>
    </row>
    <row r="163" spans="1:21" ht="15.75">
      <c r="A163" s="72"/>
      <c r="B163" s="72"/>
      <c r="C163" s="90"/>
      <c r="D163" s="72"/>
      <c r="E163" s="90"/>
      <c r="F163" s="135"/>
      <c r="G163" s="90"/>
      <c r="H163" s="72"/>
      <c r="I163" s="72"/>
      <c r="J163" s="72"/>
      <c r="K163" s="72"/>
      <c r="L163" s="72"/>
      <c r="M163" s="72"/>
      <c r="N163" s="72"/>
      <c r="O163" s="72"/>
      <c r="P163" s="72"/>
      <c r="Q163" s="72"/>
      <c r="R163" s="72"/>
      <c r="S163" s="662"/>
      <c r="T163" s="768"/>
      <c r="U163" s="768"/>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644</v>
      </c>
    </row>
    <row r="166" spans="1:21" ht="32.25" thickBot="1">
      <c r="A166" s="118" t="s">
        <v>491</v>
      </c>
      <c r="B166" s="119" t="s">
        <v>492</v>
      </c>
      <c r="C166" s="119"/>
      <c r="D166" s="119"/>
      <c r="E166" s="83" t="s">
        <v>493</v>
      </c>
      <c r="F166" s="765" t="s">
        <v>494</v>
      </c>
      <c r="G166" s="82" t="s">
        <v>495</v>
      </c>
      <c r="H166" s="82" t="s">
        <v>496</v>
      </c>
      <c r="I166" s="82" t="s">
        <v>497</v>
      </c>
      <c r="J166" s="82" t="s">
        <v>498</v>
      </c>
      <c r="K166" s="82" t="s">
        <v>499</v>
      </c>
      <c r="L166" s="82" t="s">
        <v>374</v>
      </c>
      <c r="M166" s="82" t="s">
        <v>500</v>
      </c>
      <c r="N166" s="82" t="s">
        <v>501</v>
      </c>
      <c r="O166" s="82" t="s">
        <v>502</v>
      </c>
      <c r="P166" s="82" t="s">
        <v>503</v>
      </c>
      <c r="Q166" s="82" t="s">
        <v>504</v>
      </c>
      <c r="R166" s="82" t="s">
        <v>505</v>
      </c>
      <c r="S166" s="82" t="s">
        <v>506</v>
      </c>
      <c r="T166" s="765" t="s">
        <v>507</v>
      </c>
      <c r="U166" s="766"/>
    </row>
    <row r="167" spans="1:21" ht="15.75">
      <c r="A167" s="124"/>
      <c r="B167" s="85"/>
      <c r="C167" s="85"/>
      <c r="D167" s="85"/>
      <c r="E167" s="630"/>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A'!C258</f>
        <v>Excluded Transmission Facilities</v>
      </c>
      <c r="E168" s="90">
        <v>206</v>
      </c>
      <c r="F168" s="135" t="s">
        <v>516</v>
      </c>
      <c r="G168" s="799">
        <v>2437670</v>
      </c>
      <c r="H168" s="799">
        <v>2437670</v>
      </c>
      <c r="I168" s="799">
        <v>2437670</v>
      </c>
      <c r="J168" s="799">
        <v>2473101</v>
      </c>
      <c r="K168" s="799">
        <v>2473101</v>
      </c>
      <c r="L168" s="799">
        <v>2473101</v>
      </c>
      <c r="M168" s="799">
        <v>2473101</v>
      </c>
      <c r="N168" s="799">
        <v>2473101</v>
      </c>
      <c r="O168" s="799">
        <v>2473101</v>
      </c>
      <c r="P168" s="799">
        <v>2473101</v>
      </c>
      <c r="Q168" s="799">
        <v>2473101</v>
      </c>
      <c r="R168" s="799">
        <v>2473101</v>
      </c>
      <c r="S168" s="799">
        <v>2473101</v>
      </c>
      <c r="T168" s="41">
        <f>+AVERAGE(G168:S168)</f>
        <v>2464924.6153846155</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197</v>
      </c>
    </row>
    <row r="173" spans="1:21" ht="32.25" thickBot="1">
      <c r="A173" s="118" t="s">
        <v>491</v>
      </c>
      <c r="B173" s="119" t="s">
        <v>492</v>
      </c>
      <c r="C173" s="119"/>
      <c r="D173" s="119"/>
      <c r="E173" s="83" t="s">
        <v>493</v>
      </c>
      <c r="F173" s="765" t="s">
        <v>494</v>
      </c>
      <c r="G173" s="120"/>
      <c r="H173" s="120"/>
      <c r="I173" s="120"/>
      <c r="J173" s="120"/>
      <c r="K173" s="120"/>
      <c r="L173" s="120"/>
      <c r="M173" s="120"/>
      <c r="N173" s="120"/>
      <c r="O173" s="120"/>
      <c r="P173" s="120"/>
      <c r="Q173" s="120"/>
      <c r="R173" s="120"/>
      <c r="S173" s="767" t="s">
        <v>526</v>
      </c>
      <c r="T173" s="915"/>
      <c r="U173" s="916"/>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A'!C283</f>
        <v>Facility Credits under Section 30.9 of the PJM OATT</v>
      </c>
      <c r="E175" s="72"/>
      <c r="F175" s="490" t="str">
        <f>"(Appendix A, Note "&amp;'Appendix A'!B315&amp;")"</f>
        <v>(Appendix A, Note S)</v>
      </c>
      <c r="G175" s="135"/>
      <c r="H175" s="72"/>
      <c r="I175" s="72"/>
      <c r="J175" s="72"/>
      <c r="K175" s="72"/>
      <c r="L175" s="72"/>
      <c r="M175" s="72"/>
      <c r="N175" s="72"/>
      <c r="O175" s="72"/>
      <c r="P175" s="72"/>
      <c r="Q175" s="72"/>
      <c r="R175" s="72"/>
      <c r="S175" s="791">
        <v>0</v>
      </c>
      <c r="T175" s="917"/>
      <c r="U175" s="918"/>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645</v>
      </c>
    </row>
    <row r="180" spans="1:21" ht="32.25" thickBot="1">
      <c r="A180" s="118" t="s">
        <v>491</v>
      </c>
      <c r="B180" s="119" t="s">
        <v>492</v>
      </c>
      <c r="C180" s="119"/>
      <c r="D180" s="119"/>
      <c r="E180" s="83" t="s">
        <v>493</v>
      </c>
      <c r="F180" s="765" t="s">
        <v>494</v>
      </c>
      <c r="G180" s="120"/>
      <c r="H180" s="120"/>
      <c r="I180" s="120"/>
      <c r="J180" s="120"/>
      <c r="K180" s="120"/>
      <c r="L180" s="120"/>
      <c r="M180" s="120"/>
      <c r="N180" s="120"/>
      <c r="O180" s="120"/>
      <c r="P180" s="120"/>
      <c r="Q180" s="120"/>
      <c r="R180" s="120"/>
      <c r="S180" s="767" t="s">
        <v>646</v>
      </c>
      <c r="T180" s="913"/>
      <c r="U180" s="914"/>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647</v>
      </c>
      <c r="G182" s="72"/>
      <c r="U182" s="94"/>
    </row>
    <row r="183" spans="1:21" ht="15.75">
      <c r="A183" s="89">
        <f>+A175+1</f>
        <v>72</v>
      </c>
      <c r="B183" s="72"/>
      <c r="C183" s="90" t="s">
        <v>648</v>
      </c>
      <c r="D183" s="90"/>
      <c r="E183" s="90" t="s">
        <v>649</v>
      </c>
      <c r="F183" s="135" t="s">
        <v>606</v>
      </c>
      <c r="H183" s="90"/>
      <c r="I183" s="90"/>
      <c r="J183" s="90"/>
      <c r="K183" s="90"/>
      <c r="L183" s="90"/>
      <c r="M183" s="90"/>
      <c r="N183" s="90"/>
      <c r="O183" s="90"/>
      <c r="P183" s="90"/>
      <c r="Q183" s="90"/>
      <c r="R183" s="90"/>
      <c r="S183" s="800">
        <v>3361.6</v>
      </c>
      <c r="T183" s="917"/>
      <c r="U183" s="918"/>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3"/>
    </row>
    <row r="187" spans="1:21" ht="16.5" thickBot="1">
      <c r="A187" s="58" t="s">
        <v>46</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491</v>
      </c>
      <c r="B188" s="81" t="s">
        <v>492</v>
      </c>
      <c r="C188" s="81"/>
      <c r="D188" s="81"/>
      <c r="E188" s="83" t="s">
        <v>493</v>
      </c>
      <c r="F188" s="765" t="s">
        <v>494</v>
      </c>
      <c r="G188" s="82"/>
      <c r="H188" s="82" t="s">
        <v>650</v>
      </c>
      <c r="I188" s="82" t="s">
        <v>651</v>
      </c>
      <c r="J188" s="82" t="s">
        <v>652</v>
      </c>
      <c r="K188" s="82" t="s">
        <v>67</v>
      </c>
      <c r="L188" s="82"/>
      <c r="M188" s="82"/>
      <c r="N188" s="82"/>
      <c r="O188" s="82"/>
      <c r="P188" s="82"/>
      <c r="Q188" s="82"/>
      <c r="R188" s="82"/>
      <c r="S188" s="765"/>
      <c r="T188" s="913"/>
      <c r="U188" s="914"/>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1">
        <f>+A183+1</f>
        <v>73</v>
      </c>
      <c r="B190" s="45"/>
      <c r="C190" s="45" t="s">
        <v>653</v>
      </c>
      <c r="D190" s="52"/>
      <c r="E190" s="45" t="s">
        <v>654</v>
      </c>
      <c r="F190" s="45">
        <v>182.1</v>
      </c>
      <c r="G190" s="52"/>
      <c r="H190" s="801">
        <v>0</v>
      </c>
      <c r="I190" s="801">
        <v>0</v>
      </c>
      <c r="J190" s="801">
        <v>0</v>
      </c>
      <c r="K190" s="602">
        <f>+H190+I190+J190</f>
        <v>0</v>
      </c>
      <c r="L190" s="60"/>
      <c r="M190" s="60"/>
      <c r="N190" s="60"/>
      <c r="O190" s="60"/>
      <c r="P190" s="60"/>
      <c r="Q190" s="60"/>
      <c r="R190" s="60"/>
      <c r="S190" s="159"/>
      <c r="T190" s="61"/>
      <c r="U190" s="63"/>
    </row>
    <row r="191" spans="1:21" ht="15.75">
      <c r="A191" s="351">
        <f>+A190+1</f>
        <v>74</v>
      </c>
      <c r="B191" s="45"/>
      <c r="C191" s="45" t="s">
        <v>655</v>
      </c>
      <c r="D191" s="53"/>
      <c r="E191" s="45" t="str">
        <f>+E190</f>
        <v>Per FERC Order</v>
      </c>
      <c r="F191" s="45"/>
      <c r="G191" s="52"/>
      <c r="H191" s="801">
        <v>0</v>
      </c>
      <c r="I191" s="801">
        <v>0</v>
      </c>
      <c r="J191" s="801">
        <v>0</v>
      </c>
      <c r="K191" s="602"/>
      <c r="L191" s="60"/>
      <c r="M191" s="60"/>
      <c r="N191" s="60"/>
      <c r="O191" s="60"/>
      <c r="P191" s="60"/>
      <c r="Q191" s="60"/>
      <c r="R191" s="60"/>
      <c r="S191" s="159"/>
      <c r="T191" s="61"/>
      <c r="U191" s="63"/>
    </row>
    <row r="192" spans="1:21" ht="15.75">
      <c r="A192" s="351">
        <f>+A191+1</f>
        <v>75</v>
      </c>
      <c r="B192" s="45"/>
      <c r="C192" s="45" t="s">
        <v>656</v>
      </c>
      <c r="D192" s="53"/>
      <c r="E192" s="45" t="str">
        <f>"(Line "&amp;A190&amp;") / (Line "&amp;A191&amp;")"</f>
        <v>(Line 73) / (Line 74)</v>
      </c>
      <c r="F192" s="45">
        <v>407</v>
      </c>
      <c r="G192" s="52"/>
      <c r="H192" s="801">
        <v>0</v>
      </c>
      <c r="I192" s="802">
        <v>0</v>
      </c>
      <c r="J192" s="801">
        <v>0</v>
      </c>
      <c r="K192" s="602">
        <f>+H192+I192+J192</f>
        <v>0</v>
      </c>
      <c r="L192" s="60"/>
      <c r="M192" s="60"/>
      <c r="N192" s="60"/>
      <c r="O192" s="60"/>
      <c r="P192" s="60"/>
      <c r="Q192" s="60"/>
      <c r="R192" s="60"/>
      <c r="S192" s="159"/>
      <c r="T192" s="61"/>
      <c r="U192" s="63"/>
    </row>
    <row r="193" spans="1:21" ht="15.75">
      <c r="A193" s="351"/>
      <c r="B193" s="45"/>
      <c r="C193" s="45"/>
      <c r="D193" s="53"/>
      <c r="E193" s="45"/>
      <c r="F193" s="45"/>
      <c r="G193" s="52"/>
      <c r="H193" s="604"/>
      <c r="I193" s="604"/>
      <c r="J193" s="604"/>
      <c r="K193" s="602"/>
      <c r="L193" s="60"/>
      <c r="M193" s="60"/>
      <c r="N193" s="60"/>
      <c r="O193" s="60"/>
      <c r="P193" s="60"/>
      <c r="Q193" s="60"/>
      <c r="R193" s="60"/>
      <c r="S193" s="159"/>
      <c r="T193" s="61"/>
      <c r="U193" s="63"/>
    </row>
    <row r="194" spans="1:21" ht="15.75">
      <c r="A194" s="351">
        <f>+A192+1</f>
        <v>76</v>
      </c>
      <c r="B194" s="45"/>
      <c r="C194" s="45" t="s">
        <v>657</v>
      </c>
      <c r="D194" s="53"/>
      <c r="E194" s="45" t="str">
        <f>"(Line "&amp;A190&amp;") - (Line "&amp;A192&amp;")"</f>
        <v>(Line 73) - (Line 75)</v>
      </c>
      <c r="F194" s="45">
        <v>182.1</v>
      </c>
      <c r="G194" s="55"/>
      <c r="H194" s="604">
        <f>+H190-H192</f>
        <v>0</v>
      </c>
      <c r="I194" s="604">
        <f>+I190-I192</f>
        <v>0</v>
      </c>
      <c r="J194" s="604">
        <f>+J190-J192</f>
        <v>0</v>
      </c>
      <c r="K194" s="602">
        <f>+H194+I194+J194</f>
        <v>0</v>
      </c>
      <c r="L194" s="60"/>
      <c r="M194" s="60"/>
      <c r="N194" s="60"/>
      <c r="O194" s="60"/>
      <c r="P194" s="60"/>
      <c r="Q194" s="60"/>
      <c r="R194" s="60"/>
      <c r="S194" s="159"/>
      <c r="T194" s="61"/>
      <c r="U194" s="63"/>
    </row>
    <row r="195" spans="1:21" ht="15.75">
      <c r="A195" s="351">
        <f>+A194+1</f>
        <v>77</v>
      </c>
      <c r="B195" s="45"/>
      <c r="C195" s="45" t="s">
        <v>658</v>
      </c>
      <c r="D195" s="53"/>
      <c r="E195" s="45" t="str">
        <f>"(Line "&amp;A190&amp;") + (Line "&amp;A194&amp;") / 2"</f>
        <v>(Line 73) + (Line 76) / 2</v>
      </c>
      <c r="F195" s="45"/>
      <c r="G195" s="52"/>
      <c r="H195" s="603">
        <f>+H190/2+H194/2</f>
        <v>0</v>
      </c>
      <c r="I195" s="604">
        <f>+I190/2+I194/2</f>
        <v>0</v>
      </c>
      <c r="J195" s="603">
        <f>+J190/2+J194/2</f>
        <v>0</v>
      </c>
      <c r="K195" s="602">
        <f>+H195+I195+J195</f>
        <v>0</v>
      </c>
      <c r="L195" s="60"/>
      <c r="M195" s="60"/>
      <c r="N195" s="60"/>
      <c r="O195" s="60"/>
      <c r="P195" s="60"/>
      <c r="Q195" s="60"/>
      <c r="R195" s="60"/>
      <c r="S195" s="159"/>
      <c r="T195" s="61"/>
      <c r="U195" s="63"/>
    </row>
    <row r="196" spans="1:21">
      <c r="A196" s="349"/>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0"/>
      <c r="B197" s="56"/>
      <c r="C197" s="56" t="s">
        <v>659</v>
      </c>
      <c r="D197" s="65"/>
      <c r="E197" s="56"/>
      <c r="F197" s="56"/>
      <c r="G197" s="56"/>
      <c r="H197" s="65" t="s">
        <v>660</v>
      </c>
      <c r="I197" s="65" t="s">
        <v>661</v>
      </c>
      <c r="J197" s="65" t="s">
        <v>660</v>
      </c>
      <c r="K197" s="65"/>
      <c r="L197" s="66"/>
      <c r="M197" s="67"/>
      <c r="N197" s="67"/>
      <c r="O197" s="67"/>
      <c r="P197" s="67"/>
      <c r="Q197" s="67"/>
      <c r="R197" s="67"/>
      <c r="S197" s="56"/>
      <c r="T197" s="56"/>
      <c r="U197" s="68"/>
    </row>
    <row r="200" spans="1:21" ht="16.5" thickBot="1">
      <c r="A200" s="78" t="s">
        <v>662</v>
      </c>
      <c r="G200" s="100"/>
      <c r="H200" s="921"/>
      <c r="I200" s="921"/>
      <c r="J200" s="921"/>
      <c r="K200" s="921"/>
      <c r="L200" s="921"/>
      <c r="M200" s="921"/>
      <c r="N200" s="921"/>
      <c r="O200" s="921"/>
      <c r="P200" s="921"/>
      <c r="Q200" s="921"/>
      <c r="R200" s="921"/>
      <c r="S200" s="921"/>
    </row>
    <row r="201" spans="1:21" ht="32.25" thickBot="1">
      <c r="A201" s="80" t="s">
        <v>491</v>
      </c>
      <c r="B201" s="81" t="s">
        <v>492</v>
      </c>
      <c r="C201" s="81"/>
      <c r="D201" s="81"/>
      <c r="E201" s="83" t="s">
        <v>493</v>
      </c>
      <c r="F201" s="765" t="s">
        <v>494</v>
      </c>
      <c r="G201" s="101"/>
      <c r="H201" s="101"/>
      <c r="I201" s="101"/>
      <c r="J201" s="101"/>
      <c r="K201" s="101"/>
      <c r="L201" s="101"/>
      <c r="M201" s="101"/>
      <c r="N201" s="101"/>
      <c r="O201" s="101"/>
      <c r="P201" s="101"/>
      <c r="Q201" s="765" t="s">
        <v>534</v>
      </c>
      <c r="R201" s="765" t="s">
        <v>663</v>
      </c>
      <c r="S201" s="765" t="s">
        <v>664</v>
      </c>
      <c r="T201" s="765" t="s">
        <v>507</v>
      </c>
      <c r="U201" s="766"/>
    </row>
    <row r="202" spans="1:21">
      <c r="A202" s="89"/>
      <c r="C202" s="90"/>
      <c r="E202" s="91"/>
      <c r="F202" s="91"/>
      <c r="Q202" s="17"/>
      <c r="R202" s="17"/>
      <c r="S202" s="12"/>
      <c r="T202" s="12"/>
      <c r="U202" s="94"/>
    </row>
    <row r="203" spans="1:21">
      <c r="A203" s="89">
        <f>+A195+1</f>
        <v>78</v>
      </c>
      <c r="C203" s="90" t="s">
        <v>43</v>
      </c>
      <c r="E203" s="836" t="s">
        <v>969</v>
      </c>
      <c r="F203" s="490">
        <v>254</v>
      </c>
      <c r="J203" s="17"/>
      <c r="Q203" s="803">
        <f>+'9 - Excess ADIT'!T38+'9 - Excess ADIT'!T64</f>
        <v>-23854437.419145383</v>
      </c>
      <c r="R203" s="803">
        <f>+'9 - Excess ADIT'!U70</f>
        <v>-2801311.8514752002</v>
      </c>
      <c r="S203" s="803">
        <f>+'9 - Excess ADIT'!V38+'9 - Excess ADIT'!V64</f>
        <v>-21053125.567670178</v>
      </c>
      <c r="T203" s="41">
        <f>+(S203+Q203)/2</f>
        <v>-22453781.493407778</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139"/>
      <c r="T204" s="909"/>
      <c r="U204" s="910"/>
    </row>
    <row r="206" spans="1:21" ht="18">
      <c r="U206" s="627"/>
    </row>
    <row r="207" spans="1:21" ht="16.5" thickBot="1">
      <c r="A207" s="78" t="s">
        <v>62</v>
      </c>
      <c r="G207" s="100"/>
      <c r="H207" s="921"/>
      <c r="I207" s="921"/>
      <c r="J207" s="921"/>
      <c r="K207" s="921"/>
      <c r="L207" s="921"/>
      <c r="M207" s="921"/>
      <c r="N207" s="921"/>
      <c r="O207" s="921"/>
      <c r="P207" s="921"/>
      <c r="Q207" s="921"/>
      <c r="R207" s="921"/>
      <c r="S207" s="921"/>
      <c r="U207" s="533"/>
    </row>
    <row r="208" spans="1:21" ht="32.25" thickBot="1">
      <c r="A208" s="80" t="s">
        <v>491</v>
      </c>
      <c r="B208" s="81" t="s">
        <v>492</v>
      </c>
      <c r="C208" s="81"/>
      <c r="D208" s="81"/>
      <c r="E208" s="83" t="s">
        <v>493</v>
      </c>
      <c r="F208" s="765" t="s">
        <v>494</v>
      </c>
      <c r="G208" s="82" t="s">
        <v>495</v>
      </c>
      <c r="H208" s="82" t="s">
        <v>496</v>
      </c>
      <c r="I208" s="82" t="s">
        <v>497</v>
      </c>
      <c r="J208" s="82" t="s">
        <v>498</v>
      </c>
      <c r="K208" s="82" t="s">
        <v>499</v>
      </c>
      <c r="L208" s="82" t="s">
        <v>374</v>
      </c>
      <c r="M208" s="82" t="s">
        <v>500</v>
      </c>
      <c r="N208" s="82" t="s">
        <v>501</v>
      </c>
      <c r="O208" s="82" t="s">
        <v>502</v>
      </c>
      <c r="P208" s="82" t="s">
        <v>503</v>
      </c>
      <c r="Q208" s="82" t="s">
        <v>504</v>
      </c>
      <c r="R208" s="82" t="s">
        <v>505</v>
      </c>
      <c r="S208" s="82" t="s">
        <v>506</v>
      </c>
      <c r="T208" s="765" t="s">
        <v>507</v>
      </c>
      <c r="U208" s="766"/>
    </row>
    <row r="209" spans="1:21">
      <c r="A209" s="89"/>
      <c r="C209" s="90"/>
      <c r="E209" s="91"/>
      <c r="F209" s="91"/>
      <c r="Q209" s="17"/>
      <c r="R209" s="17"/>
      <c r="S209" s="12"/>
      <c r="T209" s="12"/>
      <c r="U209" s="94"/>
    </row>
    <row r="210" spans="1:21" ht="15.75">
      <c r="A210" s="89"/>
      <c r="B210" s="78" t="s">
        <v>62</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63</v>
      </c>
      <c r="E212" s="71" t="s">
        <v>665</v>
      </c>
      <c r="F212" s="135">
        <v>228.1</v>
      </c>
      <c r="G212" s="804">
        <v>0</v>
      </c>
      <c r="H212" s="804">
        <v>0</v>
      </c>
      <c r="I212" s="804">
        <v>0</v>
      </c>
      <c r="J212" s="804">
        <v>0</v>
      </c>
      <c r="K212" s="804">
        <v>0</v>
      </c>
      <c r="L212" s="804">
        <v>0</v>
      </c>
      <c r="M212" s="804">
        <v>0</v>
      </c>
      <c r="N212" s="804">
        <v>0</v>
      </c>
      <c r="O212" s="804">
        <v>0</v>
      </c>
      <c r="P212" s="804">
        <v>0</v>
      </c>
      <c r="Q212" s="804">
        <v>0</v>
      </c>
      <c r="R212" s="804">
        <v>0</v>
      </c>
      <c r="S212" s="804">
        <v>0</v>
      </c>
      <c r="T212" s="41">
        <f>AVERAGE(G212:S212)</f>
        <v>0</v>
      </c>
      <c r="U212" s="94"/>
    </row>
    <row r="213" spans="1:21">
      <c r="A213" s="89">
        <f>+A212+1</f>
        <v>80</v>
      </c>
      <c r="C213" s="90" t="s">
        <v>65</v>
      </c>
      <c r="E213" s="71" t="s">
        <v>666</v>
      </c>
      <c r="F213" s="135">
        <v>228.2</v>
      </c>
      <c r="G213" s="804">
        <v>-1279790</v>
      </c>
      <c r="H213" s="804">
        <v>-1279790</v>
      </c>
      <c r="I213" s="804">
        <v>-1279790</v>
      </c>
      <c r="J213" s="804">
        <v>-1329790</v>
      </c>
      <c r="K213" s="804">
        <v>-1329790</v>
      </c>
      <c r="L213" s="804">
        <v>-1329790</v>
      </c>
      <c r="M213" s="804">
        <v>-1279790</v>
      </c>
      <c r="N213" s="804">
        <v>-1279790</v>
      </c>
      <c r="O213" s="804">
        <v>-1279790</v>
      </c>
      <c r="P213" s="804">
        <v>-1279790</v>
      </c>
      <c r="Q213" s="804">
        <v>-1279790</v>
      </c>
      <c r="R213" s="804">
        <v>-1279790</v>
      </c>
      <c r="S213" s="804">
        <v>-1073423</v>
      </c>
      <c r="T213" s="41">
        <f>AVERAGE(G213:S213)</f>
        <v>-1275454.076923077</v>
      </c>
      <c r="U213" s="94"/>
    </row>
    <row r="214" spans="1:21">
      <c r="A214" s="89">
        <f>+A213+1</f>
        <v>81</v>
      </c>
      <c r="C214" s="90" t="s">
        <v>667</v>
      </c>
      <c r="E214" s="71" t="s">
        <v>668</v>
      </c>
      <c r="F214" s="135">
        <v>228.3</v>
      </c>
      <c r="G214" s="804">
        <v>-1809773</v>
      </c>
      <c r="H214" s="804">
        <v>-1751912</v>
      </c>
      <c r="I214" s="804">
        <v>-1753608</v>
      </c>
      <c r="J214" s="804">
        <v>-1754933</v>
      </c>
      <c r="K214" s="804">
        <v>-1784530</v>
      </c>
      <c r="L214" s="804">
        <v>-1697324</v>
      </c>
      <c r="M214" s="804">
        <v>-1700025</v>
      </c>
      <c r="N214" s="804">
        <v>-1713205</v>
      </c>
      <c r="O214" s="804">
        <v>-1716528</v>
      </c>
      <c r="P214" s="804">
        <v>-1719743</v>
      </c>
      <c r="Q214" s="804">
        <v>-1726280</v>
      </c>
      <c r="R214" s="804">
        <v>-1726280</v>
      </c>
      <c r="S214" s="804">
        <v>-1741509</v>
      </c>
      <c r="T214" s="41">
        <f>AVERAGE(G214:S214)</f>
        <v>-1738126.923076923</v>
      </c>
      <c r="U214" s="94"/>
    </row>
    <row r="215" spans="1:21">
      <c r="A215" s="89">
        <f>+A214+1</f>
        <v>82</v>
      </c>
      <c r="C215" s="90" t="s">
        <v>669</v>
      </c>
      <c r="E215" s="71" t="s">
        <v>670</v>
      </c>
      <c r="F215" s="135">
        <v>228.4</v>
      </c>
      <c r="G215" s="804">
        <v>0</v>
      </c>
      <c r="H215" s="804">
        <v>0</v>
      </c>
      <c r="I215" s="804">
        <v>0</v>
      </c>
      <c r="J215" s="804">
        <v>0</v>
      </c>
      <c r="K215" s="804">
        <v>0</v>
      </c>
      <c r="L215" s="804">
        <v>0</v>
      </c>
      <c r="M215" s="804">
        <v>0</v>
      </c>
      <c r="N215" s="804">
        <v>0</v>
      </c>
      <c r="O215" s="804">
        <v>0</v>
      </c>
      <c r="P215" s="804">
        <v>0</v>
      </c>
      <c r="Q215" s="804">
        <v>0</v>
      </c>
      <c r="R215" s="804">
        <v>0</v>
      </c>
      <c r="S215" s="804">
        <v>0</v>
      </c>
      <c r="T215" s="41">
        <f>AVERAGE(G215:S215)</f>
        <v>0</v>
      </c>
      <c r="U215" s="94"/>
    </row>
    <row r="216" spans="1:21">
      <c r="A216" s="89"/>
      <c r="C216" s="90"/>
      <c r="J216" s="17"/>
      <c r="Q216" s="37"/>
      <c r="R216" s="37"/>
      <c r="S216" s="37"/>
      <c r="T216" s="37"/>
      <c r="U216" s="94"/>
    </row>
    <row r="217" spans="1:21" ht="16.5" thickBot="1">
      <c r="A217" s="385" t="s">
        <v>671</v>
      </c>
      <c r="B217" s="98"/>
      <c r="C217" s="95"/>
      <c r="D217" s="98"/>
      <c r="E217" s="96"/>
      <c r="F217" s="96"/>
      <c r="G217" s="97"/>
      <c r="H217" s="97"/>
      <c r="I217" s="117"/>
      <c r="J217" s="96"/>
      <c r="K217" s="96"/>
      <c r="L217" s="96"/>
      <c r="M217" s="96"/>
      <c r="N217" s="96"/>
      <c r="O217" s="96"/>
      <c r="P217" s="96"/>
      <c r="Q217" s="96"/>
      <c r="R217" s="96"/>
      <c r="S217" s="97"/>
      <c r="T217" s="909"/>
      <c r="U217" s="910"/>
    </row>
    <row r="219" spans="1:21" ht="16.5" thickBot="1">
      <c r="A219" s="78" t="s">
        <v>72</v>
      </c>
      <c r="G219" s="100"/>
      <c r="H219" s="921"/>
      <c r="I219" s="921"/>
      <c r="J219" s="921"/>
      <c r="K219" s="921"/>
      <c r="L219" s="921"/>
      <c r="M219" s="921"/>
      <c r="N219" s="921"/>
      <c r="O219" s="921"/>
      <c r="P219" s="921"/>
      <c r="Q219" s="921"/>
      <c r="R219" s="921"/>
      <c r="S219" s="921"/>
    </row>
    <row r="220" spans="1:21" ht="32.25" thickBot="1">
      <c r="A220" s="80" t="s">
        <v>491</v>
      </c>
      <c r="B220" s="81" t="s">
        <v>492</v>
      </c>
      <c r="C220" s="81"/>
      <c r="D220" s="81"/>
      <c r="E220" s="83" t="s">
        <v>493</v>
      </c>
      <c r="F220" s="765" t="s">
        <v>494</v>
      </c>
      <c r="G220" s="82" t="s">
        <v>495</v>
      </c>
      <c r="H220" s="82" t="s">
        <v>496</v>
      </c>
      <c r="I220" s="82" t="s">
        <v>497</v>
      </c>
      <c r="J220" s="82" t="s">
        <v>498</v>
      </c>
      <c r="K220" s="82" t="s">
        <v>499</v>
      </c>
      <c r="L220" s="82" t="s">
        <v>374</v>
      </c>
      <c r="M220" s="82" t="s">
        <v>500</v>
      </c>
      <c r="N220" s="82" t="s">
        <v>501</v>
      </c>
      <c r="O220" s="82" t="s">
        <v>502</v>
      </c>
      <c r="P220" s="82" t="s">
        <v>503</v>
      </c>
      <c r="Q220" s="82" t="s">
        <v>504</v>
      </c>
      <c r="R220" s="82" t="s">
        <v>505</v>
      </c>
      <c r="S220" s="82" t="s">
        <v>506</v>
      </c>
      <c r="T220" s="765" t="s">
        <v>507</v>
      </c>
      <c r="U220" s="766"/>
    </row>
    <row r="221" spans="1:21">
      <c r="A221" s="89"/>
      <c r="C221" s="90"/>
      <c r="E221" s="91"/>
      <c r="F221" s="91"/>
      <c r="Q221" s="17"/>
      <c r="R221" s="17"/>
      <c r="S221" s="12"/>
      <c r="T221" s="12"/>
      <c r="U221" s="94"/>
    </row>
    <row r="222" spans="1:21">
      <c r="A222" s="89">
        <f>+A215+1</f>
        <v>83</v>
      </c>
      <c r="C222" s="90" t="s">
        <v>672</v>
      </c>
      <c r="E222" s="71" t="s">
        <v>673</v>
      </c>
      <c r="F222" s="71">
        <v>253</v>
      </c>
      <c r="G222" s="805">
        <v>-8149</v>
      </c>
      <c r="H222" s="805">
        <v>-8149</v>
      </c>
      <c r="I222" s="805">
        <v>-8149</v>
      </c>
      <c r="J222" s="805">
        <v>-8149</v>
      </c>
      <c r="K222" s="805">
        <v>-8149</v>
      </c>
      <c r="L222" s="805">
        <v>-8149</v>
      </c>
      <c r="M222" s="805">
        <v>-8149</v>
      </c>
      <c r="N222" s="805">
        <v>-8149</v>
      </c>
      <c r="O222" s="805">
        <v>-8149</v>
      </c>
      <c r="P222" s="805">
        <v>-8149</v>
      </c>
      <c r="Q222" s="805">
        <v>-8149</v>
      </c>
      <c r="R222" s="805">
        <v>-8149</v>
      </c>
      <c r="S222" s="805">
        <v>0</v>
      </c>
      <c r="T222" s="41">
        <f>AVERAGE(G222:S222)</f>
        <v>-7522.1538461538457</v>
      </c>
      <c r="U222" s="94"/>
    </row>
    <row r="223" spans="1:21" ht="16.5" thickBot="1">
      <c r="A223" s="385"/>
      <c r="B223" s="98"/>
      <c r="C223" s="95"/>
      <c r="D223" s="98"/>
      <c r="E223" s="96"/>
      <c r="F223" s="96"/>
      <c r="G223" s="97"/>
      <c r="H223" s="97"/>
      <c r="I223" s="117"/>
      <c r="J223" s="96"/>
      <c r="K223" s="96"/>
      <c r="L223" s="96"/>
      <c r="M223" s="96"/>
      <c r="N223" s="96"/>
      <c r="O223" s="96"/>
      <c r="P223" s="96"/>
      <c r="Q223" s="96"/>
      <c r="R223" s="96"/>
      <c r="S223" s="97"/>
      <c r="T223" s="909"/>
      <c r="U223" s="910"/>
    </row>
    <row r="227" spans="1:21" ht="16.5" thickBot="1">
      <c r="A227" s="73" t="s">
        <v>71</v>
      </c>
    </row>
    <row r="228" spans="1:21" ht="32.25" thickBot="1">
      <c r="A228" s="80" t="s">
        <v>491</v>
      </c>
      <c r="B228" s="81" t="s">
        <v>492</v>
      </c>
      <c r="C228" s="81"/>
      <c r="D228" s="81"/>
      <c r="E228" s="83" t="s">
        <v>493</v>
      </c>
      <c r="F228" s="765" t="s">
        <v>494</v>
      </c>
      <c r="G228" s="82" t="s">
        <v>495</v>
      </c>
      <c r="H228" s="82" t="s">
        <v>496</v>
      </c>
      <c r="I228" s="82" t="s">
        <v>497</v>
      </c>
      <c r="J228" s="82" t="s">
        <v>498</v>
      </c>
      <c r="K228" s="82" t="s">
        <v>499</v>
      </c>
      <c r="L228" s="82" t="s">
        <v>374</v>
      </c>
      <c r="M228" s="82" t="s">
        <v>500</v>
      </c>
      <c r="N228" s="82" t="s">
        <v>501</v>
      </c>
      <c r="O228" s="82" t="s">
        <v>502</v>
      </c>
      <c r="P228" s="82" t="s">
        <v>503</v>
      </c>
      <c r="Q228" s="82" t="s">
        <v>504</v>
      </c>
      <c r="R228" s="82" t="s">
        <v>505</v>
      </c>
      <c r="S228" s="82" t="s">
        <v>506</v>
      </c>
      <c r="T228" s="765" t="s">
        <v>507</v>
      </c>
      <c r="U228" s="766"/>
    </row>
    <row r="229" spans="1:21">
      <c r="A229" s="89">
        <f>+A222+1</f>
        <v>84</v>
      </c>
      <c r="C229" s="90" t="s">
        <v>674</v>
      </c>
      <c r="E229" s="91" t="s">
        <v>675</v>
      </c>
      <c r="F229" s="490">
        <v>252</v>
      </c>
      <c r="G229" s="805">
        <v>0</v>
      </c>
      <c r="H229" s="805">
        <v>0</v>
      </c>
      <c r="I229" s="805">
        <v>0</v>
      </c>
      <c r="J229" s="805">
        <v>0</v>
      </c>
      <c r="K229" s="805">
        <v>0</v>
      </c>
      <c r="L229" s="805">
        <v>0</v>
      </c>
      <c r="M229" s="805">
        <v>0</v>
      </c>
      <c r="N229" s="805">
        <v>0</v>
      </c>
      <c r="O229" s="805">
        <v>0</v>
      </c>
      <c r="P229" s="805">
        <v>0</v>
      </c>
      <c r="Q229" s="805">
        <v>0</v>
      </c>
      <c r="R229" s="805">
        <v>0</v>
      </c>
      <c r="S229" s="805">
        <v>0</v>
      </c>
      <c r="T229" s="41">
        <f>AVERAGE(G229:S229)</f>
        <v>0</v>
      </c>
      <c r="U229" s="94"/>
    </row>
    <row r="230" spans="1:21">
      <c r="A230" s="89">
        <f>+A229+1</f>
        <v>85</v>
      </c>
      <c r="C230" s="90" t="s">
        <v>676</v>
      </c>
      <c r="E230" s="91" t="s">
        <v>677</v>
      </c>
      <c r="F230" s="490">
        <v>235</v>
      </c>
      <c r="G230" s="805">
        <v>0</v>
      </c>
      <c r="H230" s="805">
        <v>0</v>
      </c>
      <c r="I230" s="805">
        <v>0</v>
      </c>
      <c r="J230" s="805">
        <v>0</v>
      </c>
      <c r="K230" s="805">
        <v>0</v>
      </c>
      <c r="L230" s="805">
        <v>0</v>
      </c>
      <c r="M230" s="805">
        <v>0</v>
      </c>
      <c r="N230" s="805">
        <v>0</v>
      </c>
      <c r="O230" s="805">
        <v>0</v>
      </c>
      <c r="P230" s="805">
        <v>0</v>
      </c>
      <c r="Q230" s="805">
        <v>0</v>
      </c>
      <c r="R230" s="805">
        <v>0</v>
      </c>
      <c r="S230" s="805">
        <v>0</v>
      </c>
      <c r="T230" s="41">
        <f>AVERAGE(G230:S230)</f>
        <v>0</v>
      </c>
      <c r="U230" s="94"/>
    </row>
    <row r="231" spans="1:21">
      <c r="A231" s="89">
        <f>+A230+1</f>
        <v>86</v>
      </c>
      <c r="C231" s="90" t="s">
        <v>67</v>
      </c>
      <c r="E231" s="91"/>
      <c r="F231" s="490"/>
      <c r="G231" s="718"/>
      <c r="H231" s="718"/>
      <c r="I231" s="718"/>
      <c r="J231" s="718"/>
      <c r="K231" s="718"/>
      <c r="L231" s="718"/>
      <c r="M231" s="718"/>
      <c r="N231" s="718"/>
      <c r="O231" s="718"/>
      <c r="P231" s="718"/>
      <c r="Q231" s="718"/>
      <c r="R231" s="718"/>
      <c r="S231" s="718"/>
      <c r="T231" s="41">
        <f>+T229+T230</f>
        <v>0</v>
      </c>
      <c r="U231" s="94"/>
    </row>
    <row r="232" spans="1:21" ht="15.75" thickBot="1">
      <c r="A232" s="385"/>
      <c r="B232" s="97"/>
      <c r="C232" s="96"/>
      <c r="D232" s="97"/>
      <c r="E232" s="97" t="s">
        <v>678</v>
      </c>
      <c r="F232" s="97"/>
      <c r="G232" s="21"/>
      <c r="H232" s="21"/>
      <c r="I232" s="21"/>
      <c r="J232" s="21"/>
      <c r="K232" s="21"/>
      <c r="L232" s="21"/>
      <c r="M232" s="21"/>
      <c r="N232" s="21"/>
      <c r="O232" s="21"/>
      <c r="P232" s="21"/>
      <c r="Q232" s="21"/>
      <c r="R232" s="21"/>
      <c r="S232" s="21"/>
      <c r="T232" s="21"/>
      <c r="U232" s="99"/>
    </row>
    <row r="235" spans="1:21" ht="16.5" thickBot="1">
      <c r="A235" s="73" t="s">
        <v>73</v>
      </c>
    </row>
    <row r="236" spans="1:21" ht="32.25" thickBot="1">
      <c r="A236" s="80" t="s">
        <v>491</v>
      </c>
      <c r="B236" s="81" t="s">
        <v>492</v>
      </c>
      <c r="C236" s="81"/>
      <c r="D236" s="81"/>
      <c r="E236" s="83" t="s">
        <v>493</v>
      </c>
      <c r="F236" s="765" t="s">
        <v>494</v>
      </c>
      <c r="G236" s="448"/>
      <c r="H236" s="101"/>
      <c r="I236" s="101"/>
      <c r="J236" s="101"/>
      <c r="K236" s="101"/>
      <c r="L236" s="101"/>
      <c r="M236" s="101"/>
      <c r="N236" s="101"/>
      <c r="O236" s="101"/>
      <c r="P236" s="101"/>
      <c r="Q236" s="101"/>
      <c r="R236" s="765"/>
      <c r="S236" s="765"/>
      <c r="T236" s="765" t="s">
        <v>507</v>
      </c>
      <c r="U236" s="102"/>
    </row>
    <row r="237" spans="1:21">
      <c r="A237" s="89">
        <f>+A231+1</f>
        <v>87</v>
      </c>
      <c r="C237" s="90" t="s">
        <v>679</v>
      </c>
      <c r="E237" s="71" t="s">
        <v>680</v>
      </c>
      <c r="F237" s="490">
        <v>242</v>
      </c>
      <c r="G237" s="72"/>
      <c r="R237" s="41"/>
      <c r="S237" s="41"/>
      <c r="T237" s="41">
        <f>+'10 - Misc. Liabilities'!W22</f>
        <v>-1342261.4652957532</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681</v>
      </c>
      <c r="G240" s="189" t="s">
        <v>490</v>
      </c>
      <c r="H240" s="922" t="s">
        <v>682</v>
      </c>
      <c r="I240" s="923"/>
      <c r="J240" s="923"/>
      <c r="K240" s="923"/>
      <c r="L240" s="923"/>
      <c r="M240" s="923"/>
      <c r="N240" s="923"/>
      <c r="O240" s="923"/>
      <c r="P240" s="923"/>
      <c r="Q240" s="923"/>
      <c r="R240" s="923"/>
      <c r="S240" s="924"/>
    </row>
    <row r="241" spans="1:21" ht="32.25" thickBot="1">
      <c r="A241" s="80" t="s">
        <v>491</v>
      </c>
      <c r="B241" s="81" t="s">
        <v>492</v>
      </c>
      <c r="C241" s="81"/>
      <c r="D241" s="81"/>
      <c r="E241" s="83" t="s">
        <v>493</v>
      </c>
      <c r="F241" s="765" t="s">
        <v>494</v>
      </c>
      <c r="G241" s="498" t="s">
        <v>495</v>
      </c>
      <c r="H241" s="82" t="s">
        <v>496</v>
      </c>
      <c r="I241" s="82" t="s">
        <v>497</v>
      </c>
      <c r="J241" s="82" t="s">
        <v>498</v>
      </c>
      <c r="K241" s="82" t="s">
        <v>499</v>
      </c>
      <c r="L241" s="82" t="s">
        <v>374</v>
      </c>
      <c r="M241" s="82" t="s">
        <v>500</v>
      </c>
      <c r="N241" s="82" t="s">
        <v>501</v>
      </c>
      <c r="O241" s="82" t="s">
        <v>502</v>
      </c>
      <c r="P241" s="82" t="s">
        <v>503</v>
      </c>
      <c r="Q241" s="82" t="s">
        <v>504</v>
      </c>
      <c r="R241" s="82" t="s">
        <v>505</v>
      </c>
      <c r="S241" s="82" t="s">
        <v>506</v>
      </c>
      <c r="T241" s="766" t="s">
        <v>507</v>
      </c>
      <c r="U241" s="768"/>
    </row>
    <row r="242" spans="1:21">
      <c r="A242" s="89"/>
      <c r="B242" s="71" t="str">
        <f>+'7A - Project ROE Adder'!G8</f>
        <v>Name</v>
      </c>
      <c r="C242" s="90"/>
      <c r="F242" s="490"/>
      <c r="T242" s="536"/>
    </row>
    <row r="243" spans="1:21">
      <c r="A243" s="89">
        <f>+A237+1</f>
        <v>88</v>
      </c>
      <c r="B243" s="71" t="s">
        <v>683</v>
      </c>
      <c r="C243" s="90"/>
      <c r="E243" s="90">
        <v>206</v>
      </c>
      <c r="F243" s="490"/>
      <c r="G243" s="606">
        <v>0</v>
      </c>
      <c r="H243" s="607">
        <v>0</v>
      </c>
      <c r="I243" s="607">
        <v>0</v>
      </c>
      <c r="J243" s="607">
        <v>0</v>
      </c>
      <c r="K243" s="607">
        <v>0</v>
      </c>
      <c r="L243" s="607">
        <v>0</v>
      </c>
      <c r="M243" s="607">
        <v>0</v>
      </c>
      <c r="N243" s="607">
        <v>0</v>
      </c>
      <c r="O243" s="607">
        <v>0</v>
      </c>
      <c r="P243" s="607">
        <v>0</v>
      </c>
      <c r="Q243" s="607">
        <v>0</v>
      </c>
      <c r="R243" s="605">
        <v>0</v>
      </c>
      <c r="S243" s="605">
        <v>0</v>
      </c>
      <c r="T243" s="608">
        <f>+SUM(G243:S243)/13</f>
        <v>0</v>
      </c>
    </row>
    <row r="244" spans="1:21">
      <c r="A244" s="89">
        <f>+A243+1</f>
        <v>89</v>
      </c>
      <c r="B244" s="71" t="s">
        <v>31</v>
      </c>
      <c r="C244" s="90"/>
      <c r="E244" s="90">
        <v>219</v>
      </c>
      <c r="F244" s="490"/>
      <c r="G244" s="606">
        <v>0</v>
      </c>
      <c r="H244" s="607">
        <v>0</v>
      </c>
      <c r="I244" s="607">
        <v>0</v>
      </c>
      <c r="J244" s="607">
        <v>0</v>
      </c>
      <c r="K244" s="607">
        <v>0</v>
      </c>
      <c r="L244" s="607">
        <v>0</v>
      </c>
      <c r="M244" s="607">
        <v>0</v>
      </c>
      <c r="N244" s="607">
        <v>0</v>
      </c>
      <c r="O244" s="607">
        <v>0</v>
      </c>
      <c r="P244" s="607">
        <v>0</v>
      </c>
      <c r="Q244" s="607">
        <v>0</v>
      </c>
      <c r="R244" s="605">
        <v>0</v>
      </c>
      <c r="S244" s="605">
        <v>0</v>
      </c>
      <c r="T244" s="608">
        <f t="shared" ref="T244" si="11">+SUM(G244:S244)/13</f>
        <v>0</v>
      </c>
    </row>
    <row r="245" spans="1:21">
      <c r="A245" s="89">
        <f>+A244+1</f>
        <v>90</v>
      </c>
      <c r="B245" s="71" t="s">
        <v>41</v>
      </c>
      <c r="C245" s="90"/>
      <c r="E245" s="90">
        <v>274</v>
      </c>
      <c r="F245" s="490"/>
      <c r="G245" s="606">
        <v>0</v>
      </c>
      <c r="H245" s="91"/>
      <c r="I245" s="91"/>
      <c r="J245" s="91"/>
      <c r="K245" s="91"/>
      <c r="L245" s="91"/>
      <c r="M245" s="91"/>
      <c r="N245" s="91"/>
      <c r="O245" s="91"/>
      <c r="P245" s="91"/>
      <c r="Q245" s="91"/>
      <c r="R245" s="41"/>
      <c r="S245" s="605">
        <v>0</v>
      </c>
      <c r="T245" s="608">
        <f>+(G245+S245)/2</f>
        <v>0</v>
      </c>
    </row>
    <row r="246" spans="1:21">
      <c r="A246" s="89"/>
      <c r="C246" s="90"/>
      <c r="E246" s="90"/>
      <c r="F246" s="490"/>
      <c r="G246" s="92"/>
      <c r="H246" s="91"/>
      <c r="I246" s="91"/>
      <c r="J246" s="91"/>
      <c r="K246" s="91"/>
      <c r="L246" s="91"/>
      <c r="M246" s="91"/>
      <c r="N246" s="91"/>
      <c r="O246" s="91"/>
      <c r="P246" s="91"/>
      <c r="Q246" s="91"/>
      <c r="R246" s="41"/>
      <c r="S246" s="41"/>
      <c r="T246" s="608"/>
    </row>
    <row r="247" spans="1:21">
      <c r="A247" s="89"/>
      <c r="B247" s="71" t="str">
        <f>+'7A - Project ROE Adder'!I8</f>
        <v>Name</v>
      </c>
      <c r="C247" s="90"/>
      <c r="E247" s="90"/>
      <c r="F247" s="490"/>
      <c r="G247" s="91"/>
      <c r="H247" s="91"/>
      <c r="I247" s="91"/>
      <c r="J247" s="91"/>
      <c r="K247" s="91"/>
      <c r="L247" s="91"/>
      <c r="M247" s="91"/>
      <c r="N247" s="91"/>
      <c r="O247" s="91"/>
      <c r="P247" s="91"/>
      <c r="Q247" s="91"/>
      <c r="R247" s="91"/>
      <c r="S247" s="91"/>
      <c r="T247" s="609"/>
    </row>
    <row r="248" spans="1:21">
      <c r="A248" s="89">
        <f>+A245+1</f>
        <v>91</v>
      </c>
      <c r="B248" s="71" t="s">
        <v>683</v>
      </c>
      <c r="C248" s="90"/>
      <c r="E248" s="90">
        <v>206</v>
      </c>
      <c r="F248" s="490"/>
      <c r="G248" s="606">
        <v>0</v>
      </c>
      <c r="H248" s="607">
        <v>0</v>
      </c>
      <c r="I248" s="607">
        <v>0</v>
      </c>
      <c r="J248" s="607">
        <v>0</v>
      </c>
      <c r="K248" s="607">
        <v>0</v>
      </c>
      <c r="L248" s="607">
        <v>0</v>
      </c>
      <c r="M248" s="607">
        <v>0</v>
      </c>
      <c r="N248" s="607">
        <v>0</v>
      </c>
      <c r="O248" s="607">
        <v>0</v>
      </c>
      <c r="P248" s="607">
        <v>0</v>
      </c>
      <c r="Q248" s="607">
        <v>0</v>
      </c>
      <c r="R248" s="605">
        <v>0</v>
      </c>
      <c r="S248" s="605">
        <v>0</v>
      </c>
      <c r="T248" s="608">
        <f>+SUM(G248:S248)/13</f>
        <v>0</v>
      </c>
    </row>
    <row r="249" spans="1:21">
      <c r="A249" s="89">
        <f>+A248+1</f>
        <v>92</v>
      </c>
      <c r="B249" s="71" t="s">
        <v>31</v>
      </c>
      <c r="C249" s="90"/>
      <c r="E249" s="90">
        <v>219</v>
      </c>
      <c r="F249" s="490"/>
      <c r="G249" s="606">
        <v>0</v>
      </c>
      <c r="H249" s="607">
        <v>0</v>
      </c>
      <c r="I249" s="607">
        <v>0</v>
      </c>
      <c r="J249" s="607">
        <v>0</v>
      </c>
      <c r="K249" s="607">
        <v>0</v>
      </c>
      <c r="L249" s="607">
        <v>0</v>
      </c>
      <c r="M249" s="607">
        <v>0</v>
      </c>
      <c r="N249" s="607">
        <v>0</v>
      </c>
      <c r="O249" s="607">
        <v>0</v>
      </c>
      <c r="P249" s="607">
        <v>0</v>
      </c>
      <c r="Q249" s="607">
        <v>0</v>
      </c>
      <c r="R249" s="605">
        <v>0</v>
      </c>
      <c r="S249" s="605">
        <v>0</v>
      </c>
      <c r="T249" s="608">
        <f t="shared" ref="T249" si="12">+SUM(G249:S249)/13</f>
        <v>0</v>
      </c>
    </row>
    <row r="250" spans="1:21">
      <c r="A250" s="89">
        <f>+A249+1</f>
        <v>93</v>
      </c>
      <c r="B250" s="71" t="s">
        <v>41</v>
      </c>
      <c r="C250" s="90"/>
      <c r="E250" s="90">
        <v>274</v>
      </c>
      <c r="F250" s="490"/>
      <c r="G250" s="606">
        <v>0</v>
      </c>
      <c r="H250" s="91"/>
      <c r="I250" s="91"/>
      <c r="J250" s="91"/>
      <c r="K250" s="91"/>
      <c r="L250" s="91"/>
      <c r="M250" s="91"/>
      <c r="N250" s="91"/>
      <c r="O250" s="91"/>
      <c r="P250" s="91"/>
      <c r="Q250" s="91"/>
      <c r="R250" s="41"/>
      <c r="S250" s="605">
        <v>0</v>
      </c>
      <c r="T250" s="608">
        <f>+(G250+S250)/2</f>
        <v>0</v>
      </c>
    </row>
    <row r="251" spans="1:21">
      <c r="E251" s="90"/>
      <c r="G251" s="91"/>
      <c r="H251" s="91"/>
      <c r="I251" s="91"/>
      <c r="J251" s="91"/>
      <c r="K251" s="91"/>
      <c r="L251" s="91"/>
      <c r="M251" s="91"/>
      <c r="N251" s="91"/>
      <c r="O251" s="91"/>
      <c r="P251" s="91"/>
      <c r="Q251" s="91"/>
      <c r="R251" s="91"/>
      <c r="S251" s="91"/>
      <c r="T251" s="609"/>
    </row>
    <row r="252" spans="1:21">
      <c r="A252" s="89"/>
      <c r="B252" s="71" t="str">
        <f>+'7A - Project ROE Adder'!K8</f>
        <v>Name</v>
      </c>
      <c r="C252" s="90"/>
      <c r="E252" s="90"/>
      <c r="F252" s="490"/>
      <c r="G252" s="91"/>
      <c r="H252" s="91"/>
      <c r="I252" s="91"/>
      <c r="J252" s="91"/>
      <c r="K252" s="91"/>
      <c r="L252" s="91"/>
      <c r="M252" s="91"/>
      <c r="N252" s="91"/>
      <c r="O252" s="91"/>
      <c r="P252" s="91"/>
      <c r="Q252" s="91"/>
      <c r="R252" s="91"/>
      <c r="S252" s="91"/>
      <c r="T252" s="609"/>
    </row>
    <row r="253" spans="1:21">
      <c r="A253" s="89">
        <f>+A250+1</f>
        <v>94</v>
      </c>
      <c r="B253" s="71" t="s">
        <v>683</v>
      </c>
      <c r="C253" s="90"/>
      <c r="E253" s="90">
        <v>206</v>
      </c>
      <c r="F253" s="490"/>
      <c r="G253" s="606">
        <v>0</v>
      </c>
      <c r="H253" s="607">
        <v>0</v>
      </c>
      <c r="I253" s="607">
        <v>0</v>
      </c>
      <c r="J253" s="607">
        <v>0</v>
      </c>
      <c r="K253" s="607">
        <v>0</v>
      </c>
      <c r="L253" s="607">
        <v>0</v>
      </c>
      <c r="M253" s="607">
        <v>0</v>
      </c>
      <c r="N253" s="607">
        <v>0</v>
      </c>
      <c r="O253" s="607">
        <v>0</v>
      </c>
      <c r="P253" s="607">
        <v>0</v>
      </c>
      <c r="Q253" s="607">
        <v>0</v>
      </c>
      <c r="R253" s="605">
        <v>0</v>
      </c>
      <c r="S253" s="605">
        <v>0</v>
      </c>
      <c r="T253" s="608">
        <f>+SUM(G253:S253)/13</f>
        <v>0</v>
      </c>
    </row>
    <row r="254" spans="1:21">
      <c r="A254" s="89">
        <f>+A253+1</f>
        <v>95</v>
      </c>
      <c r="B254" s="71" t="s">
        <v>31</v>
      </c>
      <c r="C254" s="90"/>
      <c r="E254" s="90">
        <v>219</v>
      </c>
      <c r="F254" s="490"/>
      <c r="G254" s="606">
        <v>0</v>
      </c>
      <c r="H254" s="607">
        <v>0</v>
      </c>
      <c r="I254" s="607">
        <v>0</v>
      </c>
      <c r="J254" s="607">
        <v>0</v>
      </c>
      <c r="K254" s="607">
        <v>0</v>
      </c>
      <c r="L254" s="607">
        <v>0</v>
      </c>
      <c r="M254" s="607">
        <v>0</v>
      </c>
      <c r="N254" s="607">
        <v>0</v>
      </c>
      <c r="O254" s="607">
        <v>0</v>
      </c>
      <c r="P254" s="607">
        <v>0</v>
      </c>
      <c r="Q254" s="607">
        <v>0</v>
      </c>
      <c r="R254" s="605">
        <v>0</v>
      </c>
      <c r="S254" s="605">
        <v>0</v>
      </c>
      <c r="T254" s="608">
        <f t="shared" ref="T254" si="13">+SUM(G254:S254)/13</f>
        <v>0</v>
      </c>
    </row>
    <row r="255" spans="1:21">
      <c r="A255" s="89">
        <f>+A254+1</f>
        <v>96</v>
      </c>
      <c r="B255" s="71" t="s">
        <v>41</v>
      </c>
      <c r="C255" s="90"/>
      <c r="E255" s="90">
        <v>274</v>
      </c>
      <c r="F255" s="490"/>
      <c r="G255" s="606">
        <v>0</v>
      </c>
      <c r="H255" s="91"/>
      <c r="I255" s="91"/>
      <c r="J255" s="91"/>
      <c r="K255" s="91"/>
      <c r="L255" s="91"/>
      <c r="M255" s="91"/>
      <c r="N255" s="91"/>
      <c r="O255" s="91"/>
      <c r="P255" s="91"/>
      <c r="Q255" s="91"/>
      <c r="R255" s="41"/>
      <c r="S255" s="605">
        <v>0</v>
      </c>
      <c r="T255" s="608">
        <f>+(G255+S255)/2</f>
        <v>0</v>
      </c>
    </row>
    <row r="256" spans="1:21">
      <c r="E256" s="90"/>
      <c r="G256" s="91"/>
      <c r="H256" s="91"/>
      <c r="I256" s="91"/>
      <c r="J256" s="91"/>
      <c r="K256" s="91"/>
      <c r="L256" s="91"/>
      <c r="M256" s="91"/>
      <c r="N256" s="91"/>
      <c r="O256" s="91"/>
      <c r="P256" s="91"/>
      <c r="Q256" s="91"/>
      <c r="R256" s="91"/>
      <c r="S256" s="91"/>
      <c r="T256" s="609"/>
    </row>
    <row r="257" spans="1:20">
      <c r="A257" s="89"/>
      <c r="B257" s="71" t="str">
        <f>+'7A - Project ROE Adder'!M8</f>
        <v>Name</v>
      </c>
      <c r="C257" s="90"/>
      <c r="E257" s="90"/>
      <c r="F257" s="490"/>
      <c r="G257" s="91"/>
      <c r="H257" s="91"/>
      <c r="I257" s="91"/>
      <c r="J257" s="91"/>
      <c r="K257" s="91"/>
      <c r="L257" s="91"/>
      <c r="M257" s="91"/>
      <c r="N257" s="91"/>
      <c r="O257" s="91"/>
      <c r="P257" s="91"/>
      <c r="Q257" s="91"/>
      <c r="R257" s="91"/>
      <c r="S257" s="91"/>
      <c r="T257" s="609"/>
    </row>
    <row r="258" spans="1:20">
      <c r="A258" s="89">
        <f>+A255+1</f>
        <v>97</v>
      </c>
      <c r="B258" s="71" t="s">
        <v>683</v>
      </c>
      <c r="C258" s="90"/>
      <c r="E258" s="90">
        <v>206</v>
      </c>
      <c r="F258" s="490"/>
      <c r="G258" s="606">
        <v>0</v>
      </c>
      <c r="H258" s="607">
        <v>0</v>
      </c>
      <c r="I258" s="607">
        <v>0</v>
      </c>
      <c r="J258" s="607">
        <v>0</v>
      </c>
      <c r="K258" s="607">
        <v>0</v>
      </c>
      <c r="L258" s="607">
        <v>0</v>
      </c>
      <c r="M258" s="607">
        <v>0</v>
      </c>
      <c r="N258" s="607">
        <v>0</v>
      </c>
      <c r="O258" s="607">
        <v>0</v>
      </c>
      <c r="P258" s="607">
        <v>0</v>
      </c>
      <c r="Q258" s="607">
        <v>0</v>
      </c>
      <c r="R258" s="605">
        <v>0</v>
      </c>
      <c r="S258" s="605">
        <v>0</v>
      </c>
      <c r="T258" s="608">
        <f>+SUM(G258:S258)/13</f>
        <v>0</v>
      </c>
    </row>
    <row r="259" spans="1:20">
      <c r="A259" s="89">
        <f>+A258+1</f>
        <v>98</v>
      </c>
      <c r="B259" s="71" t="s">
        <v>31</v>
      </c>
      <c r="C259" s="90"/>
      <c r="E259" s="90">
        <v>219</v>
      </c>
      <c r="F259" s="490"/>
      <c r="G259" s="606">
        <v>0</v>
      </c>
      <c r="H259" s="607">
        <v>0</v>
      </c>
      <c r="I259" s="607">
        <v>0</v>
      </c>
      <c r="J259" s="607">
        <v>0</v>
      </c>
      <c r="K259" s="607">
        <v>0</v>
      </c>
      <c r="L259" s="607">
        <v>0</v>
      </c>
      <c r="M259" s="607">
        <v>0</v>
      </c>
      <c r="N259" s="607">
        <v>0</v>
      </c>
      <c r="O259" s="607">
        <v>0</v>
      </c>
      <c r="P259" s="607">
        <v>0</v>
      </c>
      <c r="Q259" s="607">
        <v>0</v>
      </c>
      <c r="R259" s="605">
        <v>0</v>
      </c>
      <c r="S259" s="605">
        <v>0</v>
      </c>
      <c r="T259" s="608">
        <f t="shared" ref="T259" si="14">+SUM(G259:S259)/13</f>
        <v>0</v>
      </c>
    </row>
    <row r="260" spans="1:20">
      <c r="A260" s="89">
        <f>+A259+1</f>
        <v>99</v>
      </c>
      <c r="B260" s="71" t="s">
        <v>41</v>
      </c>
      <c r="C260" s="90"/>
      <c r="E260" s="90">
        <v>274</v>
      </c>
      <c r="F260" s="490"/>
      <c r="G260" s="606">
        <v>0</v>
      </c>
      <c r="H260" s="91"/>
      <c r="I260" s="91"/>
      <c r="J260" s="91"/>
      <c r="K260" s="91"/>
      <c r="L260" s="91"/>
      <c r="M260" s="91"/>
      <c r="N260" s="91"/>
      <c r="O260" s="91"/>
      <c r="P260" s="91"/>
      <c r="Q260" s="91"/>
      <c r="R260" s="41"/>
      <c r="S260" s="605">
        <v>0</v>
      </c>
      <c r="T260" s="608">
        <f>+(G260+S260)/2</f>
        <v>0</v>
      </c>
    </row>
    <row r="261" spans="1:20">
      <c r="E261" s="90"/>
      <c r="G261" s="91"/>
      <c r="H261" s="91"/>
      <c r="I261" s="91"/>
      <c r="J261" s="91"/>
      <c r="K261" s="91"/>
      <c r="L261" s="91"/>
      <c r="M261" s="91"/>
      <c r="N261" s="91"/>
      <c r="O261" s="91"/>
      <c r="P261" s="91"/>
      <c r="Q261" s="91"/>
      <c r="R261" s="91"/>
      <c r="S261" s="91"/>
      <c r="T261" s="609"/>
    </row>
    <row r="262" spans="1:20">
      <c r="A262" s="89"/>
      <c r="B262" s="71" t="str">
        <f>+'7A - Project ROE Adder'!O8</f>
        <v>Name</v>
      </c>
      <c r="C262" s="90"/>
      <c r="E262" s="90"/>
      <c r="F262" s="490"/>
      <c r="G262" s="91"/>
      <c r="H262" s="91"/>
      <c r="I262" s="91"/>
      <c r="J262" s="91"/>
      <c r="K262" s="91"/>
      <c r="L262" s="91"/>
      <c r="M262" s="91"/>
      <c r="N262" s="91"/>
      <c r="O262" s="91"/>
      <c r="P262" s="91"/>
      <c r="Q262" s="91"/>
      <c r="R262" s="91"/>
      <c r="S262" s="91"/>
      <c r="T262" s="609"/>
    </row>
    <row r="263" spans="1:20">
      <c r="A263" s="89">
        <f>+A260+1</f>
        <v>100</v>
      </c>
      <c r="B263" s="71" t="s">
        <v>683</v>
      </c>
      <c r="C263" s="90"/>
      <c r="E263" s="90">
        <v>206</v>
      </c>
      <c r="F263" s="490"/>
      <c r="G263" s="606">
        <v>0</v>
      </c>
      <c r="H263" s="607">
        <v>0</v>
      </c>
      <c r="I263" s="607">
        <v>0</v>
      </c>
      <c r="J263" s="607">
        <v>0</v>
      </c>
      <c r="K263" s="607">
        <v>0</v>
      </c>
      <c r="L263" s="607">
        <v>0</v>
      </c>
      <c r="M263" s="607">
        <v>0</v>
      </c>
      <c r="N263" s="607">
        <v>0</v>
      </c>
      <c r="O263" s="607">
        <v>0</v>
      </c>
      <c r="P263" s="607">
        <v>0</v>
      </c>
      <c r="Q263" s="607">
        <v>0</v>
      </c>
      <c r="R263" s="605">
        <v>0</v>
      </c>
      <c r="S263" s="605">
        <v>0</v>
      </c>
      <c r="T263" s="608">
        <f>+SUM(G263:S263)/13</f>
        <v>0</v>
      </c>
    </row>
    <row r="264" spans="1:20">
      <c r="A264" s="89">
        <f>+A263+1</f>
        <v>101</v>
      </c>
      <c r="B264" s="71" t="s">
        <v>31</v>
      </c>
      <c r="C264" s="90"/>
      <c r="E264" s="90">
        <v>219</v>
      </c>
      <c r="F264" s="490"/>
      <c r="G264" s="606">
        <v>0</v>
      </c>
      <c r="H264" s="607">
        <v>0</v>
      </c>
      <c r="I264" s="607">
        <v>0</v>
      </c>
      <c r="J264" s="607">
        <v>0</v>
      </c>
      <c r="K264" s="607">
        <v>0</v>
      </c>
      <c r="L264" s="607">
        <v>0</v>
      </c>
      <c r="M264" s="607">
        <v>0</v>
      </c>
      <c r="N264" s="607">
        <v>0</v>
      </c>
      <c r="O264" s="607">
        <v>0</v>
      </c>
      <c r="P264" s="607">
        <v>0</v>
      </c>
      <c r="Q264" s="607">
        <v>0</v>
      </c>
      <c r="R264" s="605">
        <v>0</v>
      </c>
      <c r="S264" s="605">
        <v>0</v>
      </c>
      <c r="T264" s="608">
        <f t="shared" ref="T264" si="15">+SUM(G264:S264)/13</f>
        <v>0</v>
      </c>
    </row>
    <row r="265" spans="1:20">
      <c r="A265" s="89">
        <f>+A264+1</f>
        <v>102</v>
      </c>
      <c r="B265" s="71" t="s">
        <v>41</v>
      </c>
      <c r="C265" s="90"/>
      <c r="E265" s="90">
        <v>274</v>
      </c>
      <c r="F265" s="490"/>
      <c r="G265" s="606">
        <v>0</v>
      </c>
      <c r="H265" s="91"/>
      <c r="I265" s="91"/>
      <c r="J265" s="91"/>
      <c r="K265" s="91"/>
      <c r="L265" s="91"/>
      <c r="M265" s="91"/>
      <c r="N265" s="91"/>
      <c r="O265" s="91"/>
      <c r="P265" s="91"/>
      <c r="Q265" s="91"/>
      <c r="R265" s="41"/>
      <c r="S265" s="605">
        <v>0</v>
      </c>
      <c r="T265" s="608">
        <f>+(G265+S265)/2</f>
        <v>0</v>
      </c>
    </row>
    <row r="266" spans="1:20">
      <c r="E266" s="90"/>
      <c r="G266" s="91"/>
      <c r="H266" s="91"/>
      <c r="I266" s="91"/>
      <c r="J266" s="91"/>
      <c r="K266" s="91"/>
      <c r="L266" s="91"/>
      <c r="M266" s="91"/>
      <c r="N266" s="91"/>
      <c r="O266" s="91"/>
      <c r="P266" s="91"/>
      <c r="Q266" s="91"/>
      <c r="R266" s="91"/>
      <c r="S266" s="91"/>
      <c r="T266" s="609"/>
    </row>
    <row r="267" spans="1:20">
      <c r="A267" s="89"/>
      <c r="B267" s="71" t="str">
        <f>+'7A - Project ROE Adder'!Q8</f>
        <v>Name</v>
      </c>
      <c r="C267" s="90"/>
      <c r="E267" s="90"/>
      <c r="F267" s="490"/>
      <c r="G267" s="91"/>
      <c r="H267" s="91"/>
      <c r="I267" s="91"/>
      <c r="J267" s="91"/>
      <c r="K267" s="91"/>
      <c r="L267" s="91"/>
      <c r="M267" s="91"/>
      <c r="N267" s="91"/>
      <c r="O267" s="91"/>
      <c r="P267" s="91"/>
      <c r="Q267" s="91"/>
      <c r="R267" s="91"/>
      <c r="S267" s="91"/>
      <c r="T267" s="609"/>
    </row>
    <row r="268" spans="1:20">
      <c r="A268" s="89">
        <f>+A265+1</f>
        <v>103</v>
      </c>
      <c r="B268" s="71" t="s">
        <v>683</v>
      </c>
      <c r="C268" s="90"/>
      <c r="E268" s="90">
        <v>206</v>
      </c>
      <c r="F268" s="490"/>
      <c r="G268" s="606">
        <v>0</v>
      </c>
      <c r="H268" s="607">
        <v>0</v>
      </c>
      <c r="I268" s="607">
        <v>0</v>
      </c>
      <c r="J268" s="607">
        <v>0</v>
      </c>
      <c r="K268" s="607">
        <v>0</v>
      </c>
      <c r="L268" s="607">
        <v>0</v>
      </c>
      <c r="M268" s="607">
        <v>0</v>
      </c>
      <c r="N268" s="607">
        <v>0</v>
      </c>
      <c r="O268" s="607">
        <v>0</v>
      </c>
      <c r="P268" s="607">
        <v>0</v>
      </c>
      <c r="Q268" s="607">
        <v>0</v>
      </c>
      <c r="R268" s="605">
        <v>0</v>
      </c>
      <c r="S268" s="605">
        <v>0</v>
      </c>
      <c r="T268" s="608">
        <f>+SUM(G268:S268)/13</f>
        <v>0</v>
      </c>
    </row>
    <row r="269" spans="1:20">
      <c r="A269" s="89">
        <f>+A268+1</f>
        <v>104</v>
      </c>
      <c r="B269" s="71" t="s">
        <v>31</v>
      </c>
      <c r="C269" s="90"/>
      <c r="E269" s="90">
        <v>219</v>
      </c>
      <c r="F269" s="490"/>
      <c r="G269" s="606">
        <v>0</v>
      </c>
      <c r="H269" s="607">
        <v>0</v>
      </c>
      <c r="I269" s="607">
        <v>0</v>
      </c>
      <c r="J269" s="607">
        <v>0</v>
      </c>
      <c r="K269" s="607">
        <v>0</v>
      </c>
      <c r="L269" s="607">
        <v>0</v>
      </c>
      <c r="M269" s="607">
        <v>0</v>
      </c>
      <c r="N269" s="607">
        <v>0</v>
      </c>
      <c r="O269" s="607">
        <v>0</v>
      </c>
      <c r="P269" s="607">
        <v>0</v>
      </c>
      <c r="Q269" s="607">
        <v>0</v>
      </c>
      <c r="R269" s="605">
        <v>0</v>
      </c>
      <c r="S269" s="605">
        <v>0</v>
      </c>
      <c r="T269" s="608">
        <f t="shared" ref="T269" si="16">+SUM(G269:S269)/13</f>
        <v>0</v>
      </c>
    </row>
    <row r="270" spans="1:20">
      <c r="A270" s="89">
        <f>+A269+1</f>
        <v>105</v>
      </c>
      <c r="B270" s="71" t="s">
        <v>41</v>
      </c>
      <c r="C270" s="90"/>
      <c r="E270" s="90">
        <v>274</v>
      </c>
      <c r="F270" s="490"/>
      <c r="G270" s="606">
        <v>0</v>
      </c>
      <c r="H270" s="91"/>
      <c r="I270" s="91"/>
      <c r="J270" s="91"/>
      <c r="K270" s="91"/>
      <c r="L270" s="91"/>
      <c r="M270" s="91"/>
      <c r="N270" s="91"/>
      <c r="O270" s="91"/>
      <c r="P270" s="91"/>
      <c r="Q270" s="91"/>
      <c r="R270" s="41"/>
      <c r="S270" s="605">
        <v>0</v>
      </c>
      <c r="T270" s="608">
        <f>+(G270+S270)/2</f>
        <v>0</v>
      </c>
    </row>
    <row r="271" spans="1:20">
      <c r="E271" s="90"/>
      <c r="G271" s="91"/>
      <c r="H271" s="91"/>
      <c r="I271" s="91"/>
      <c r="J271" s="91"/>
      <c r="K271" s="91"/>
      <c r="L271" s="91"/>
      <c r="M271" s="91"/>
      <c r="N271" s="91"/>
      <c r="O271" s="91"/>
      <c r="P271" s="91"/>
      <c r="Q271" s="91"/>
      <c r="R271" s="91"/>
      <c r="S271" s="91"/>
      <c r="T271" s="609"/>
    </row>
    <row r="272" spans="1:20">
      <c r="A272" s="89"/>
      <c r="B272" s="71" t="str">
        <f>+'7A - Project ROE Adder'!S8</f>
        <v>Name</v>
      </c>
      <c r="C272" s="90"/>
      <c r="E272" s="90"/>
      <c r="F272" s="490"/>
      <c r="G272" s="91"/>
      <c r="H272" s="91"/>
      <c r="I272" s="91"/>
      <c r="J272" s="91"/>
      <c r="K272" s="91"/>
      <c r="L272" s="91"/>
      <c r="M272" s="91"/>
      <c r="N272" s="91"/>
      <c r="O272" s="91"/>
      <c r="P272" s="91"/>
      <c r="Q272" s="91"/>
      <c r="R272" s="91"/>
      <c r="S272" s="91"/>
      <c r="T272" s="609"/>
    </row>
    <row r="273" spans="1:20">
      <c r="A273" s="89">
        <f>+A270+1</f>
        <v>106</v>
      </c>
      <c r="B273" s="71" t="s">
        <v>683</v>
      </c>
      <c r="C273" s="90"/>
      <c r="E273" s="90">
        <v>206</v>
      </c>
      <c r="F273" s="490"/>
      <c r="G273" s="606">
        <v>0</v>
      </c>
      <c r="H273" s="607">
        <v>0</v>
      </c>
      <c r="I273" s="607">
        <v>0</v>
      </c>
      <c r="J273" s="607">
        <v>0</v>
      </c>
      <c r="K273" s="607">
        <v>0</v>
      </c>
      <c r="L273" s="607">
        <v>0</v>
      </c>
      <c r="M273" s="607">
        <v>0</v>
      </c>
      <c r="N273" s="607">
        <v>0</v>
      </c>
      <c r="O273" s="607">
        <v>0</v>
      </c>
      <c r="P273" s="607">
        <v>0</v>
      </c>
      <c r="Q273" s="607">
        <v>0</v>
      </c>
      <c r="R273" s="605">
        <v>0</v>
      </c>
      <c r="S273" s="605">
        <v>0</v>
      </c>
      <c r="T273" s="608">
        <f>+SUM(G273:S273)/13</f>
        <v>0</v>
      </c>
    </row>
    <row r="274" spans="1:20">
      <c r="A274" s="89">
        <f>+A273+1</f>
        <v>107</v>
      </c>
      <c r="B274" s="71" t="s">
        <v>31</v>
      </c>
      <c r="C274" s="90"/>
      <c r="E274" s="90">
        <v>219</v>
      </c>
      <c r="F274" s="490"/>
      <c r="G274" s="606">
        <v>0</v>
      </c>
      <c r="H274" s="607">
        <v>0</v>
      </c>
      <c r="I274" s="607">
        <v>0</v>
      </c>
      <c r="J274" s="607">
        <v>0</v>
      </c>
      <c r="K274" s="607">
        <v>0</v>
      </c>
      <c r="L274" s="607">
        <v>0</v>
      </c>
      <c r="M274" s="607">
        <v>0</v>
      </c>
      <c r="N274" s="607">
        <v>0</v>
      </c>
      <c r="O274" s="607">
        <v>0</v>
      </c>
      <c r="P274" s="607">
        <v>0</v>
      </c>
      <c r="Q274" s="607">
        <v>0</v>
      </c>
      <c r="R274" s="605">
        <v>0</v>
      </c>
      <c r="S274" s="605">
        <v>0</v>
      </c>
      <c r="T274" s="608">
        <f t="shared" ref="T274" si="17">+SUM(G274:S274)/13</f>
        <v>0</v>
      </c>
    </row>
    <row r="275" spans="1:20">
      <c r="A275" s="89">
        <f>+A274+1</f>
        <v>108</v>
      </c>
      <c r="B275" s="71" t="s">
        <v>41</v>
      </c>
      <c r="C275" s="90"/>
      <c r="E275" s="90">
        <v>274</v>
      </c>
      <c r="F275" s="490"/>
      <c r="G275" s="606">
        <v>0</v>
      </c>
      <c r="H275" s="91"/>
      <c r="I275" s="91"/>
      <c r="J275" s="91"/>
      <c r="K275" s="91"/>
      <c r="L275" s="91"/>
      <c r="M275" s="91"/>
      <c r="N275" s="91"/>
      <c r="O275" s="91"/>
      <c r="P275" s="91"/>
      <c r="Q275" s="91"/>
      <c r="R275" s="41"/>
      <c r="S275" s="605">
        <v>0</v>
      </c>
      <c r="T275" s="608">
        <f>+(G275+S275)/2</f>
        <v>0</v>
      </c>
    </row>
    <row r="276" spans="1:20">
      <c r="E276" s="90"/>
      <c r="G276" s="91"/>
      <c r="H276" s="91"/>
      <c r="I276" s="91"/>
      <c r="J276" s="91"/>
      <c r="K276" s="91"/>
      <c r="L276" s="91"/>
      <c r="M276" s="91"/>
      <c r="N276" s="91"/>
      <c r="O276" s="91"/>
      <c r="P276" s="91"/>
      <c r="Q276" s="91"/>
      <c r="R276" s="91"/>
      <c r="S276" s="91"/>
      <c r="T276" s="609"/>
    </row>
    <row r="277" spans="1:20">
      <c r="A277" s="89"/>
      <c r="B277" s="71" t="str">
        <f>+'7A - Project ROE Adder'!U8</f>
        <v>Name</v>
      </c>
      <c r="C277" s="90"/>
      <c r="E277" s="90"/>
      <c r="F277" s="490"/>
      <c r="G277" s="91"/>
      <c r="H277" s="91"/>
      <c r="I277" s="91"/>
      <c r="J277" s="91"/>
      <c r="K277" s="91"/>
      <c r="L277" s="91"/>
      <c r="M277" s="91"/>
      <c r="N277" s="91"/>
      <c r="O277" s="91"/>
      <c r="P277" s="91"/>
      <c r="Q277" s="91"/>
      <c r="R277" s="91"/>
      <c r="S277" s="91"/>
      <c r="T277" s="609"/>
    </row>
    <row r="278" spans="1:20">
      <c r="A278" s="89">
        <f>+A275+1</f>
        <v>109</v>
      </c>
      <c r="B278" s="71" t="s">
        <v>683</v>
      </c>
      <c r="C278" s="90"/>
      <c r="E278" s="90">
        <v>206</v>
      </c>
      <c r="F278" s="490"/>
      <c r="G278" s="606">
        <v>0</v>
      </c>
      <c r="H278" s="607">
        <v>0</v>
      </c>
      <c r="I278" s="607">
        <v>0</v>
      </c>
      <c r="J278" s="607">
        <v>0</v>
      </c>
      <c r="K278" s="607">
        <v>0</v>
      </c>
      <c r="L278" s="607">
        <v>0</v>
      </c>
      <c r="M278" s="607">
        <v>0</v>
      </c>
      <c r="N278" s="607">
        <v>0</v>
      </c>
      <c r="O278" s="607">
        <v>0</v>
      </c>
      <c r="P278" s="607">
        <v>0</v>
      </c>
      <c r="Q278" s="607">
        <v>0</v>
      </c>
      <c r="R278" s="605">
        <v>0</v>
      </c>
      <c r="S278" s="605">
        <v>0</v>
      </c>
      <c r="T278" s="608">
        <f>+SUM(G278:S278)/13</f>
        <v>0</v>
      </c>
    </row>
    <row r="279" spans="1:20">
      <c r="A279" s="89">
        <f>+A278+1</f>
        <v>110</v>
      </c>
      <c r="B279" s="71" t="s">
        <v>31</v>
      </c>
      <c r="C279" s="90"/>
      <c r="E279" s="90">
        <v>219</v>
      </c>
      <c r="F279" s="490"/>
      <c r="G279" s="606">
        <v>0</v>
      </c>
      <c r="H279" s="607">
        <v>0</v>
      </c>
      <c r="I279" s="607">
        <v>0</v>
      </c>
      <c r="J279" s="607">
        <v>0</v>
      </c>
      <c r="K279" s="607">
        <v>0</v>
      </c>
      <c r="L279" s="607">
        <v>0</v>
      </c>
      <c r="M279" s="607">
        <v>0</v>
      </c>
      <c r="N279" s="607">
        <v>0</v>
      </c>
      <c r="O279" s="607">
        <v>0</v>
      </c>
      <c r="P279" s="607">
        <v>0</v>
      </c>
      <c r="Q279" s="607">
        <v>0</v>
      </c>
      <c r="R279" s="605">
        <v>0</v>
      </c>
      <c r="S279" s="605">
        <v>0</v>
      </c>
      <c r="T279" s="608">
        <f t="shared" ref="T279" si="18">+SUM(G279:S279)/13</f>
        <v>0</v>
      </c>
    </row>
    <row r="280" spans="1:20">
      <c r="A280" s="89">
        <f>+A279+1</f>
        <v>111</v>
      </c>
      <c r="B280" s="71" t="s">
        <v>41</v>
      </c>
      <c r="C280" s="90"/>
      <c r="E280" s="90">
        <v>274</v>
      </c>
      <c r="F280" s="490"/>
      <c r="G280" s="606">
        <v>0</v>
      </c>
      <c r="H280" s="91"/>
      <c r="I280" s="91"/>
      <c r="J280" s="91"/>
      <c r="K280" s="91"/>
      <c r="L280" s="91"/>
      <c r="M280" s="91"/>
      <c r="N280" s="91"/>
      <c r="O280" s="91"/>
      <c r="P280" s="91"/>
      <c r="Q280" s="91"/>
      <c r="R280" s="41"/>
      <c r="S280" s="605">
        <v>0</v>
      </c>
      <c r="T280" s="608">
        <f>+(G280+S280)/2</f>
        <v>0</v>
      </c>
    </row>
    <row r="281" spans="1:20">
      <c r="E281" s="90"/>
      <c r="G281" s="91"/>
      <c r="H281" s="91"/>
      <c r="I281" s="91"/>
      <c r="J281" s="91"/>
      <c r="K281" s="91"/>
      <c r="L281" s="91"/>
      <c r="M281" s="91"/>
      <c r="N281" s="91"/>
      <c r="O281" s="91"/>
      <c r="P281" s="91"/>
      <c r="Q281" s="91"/>
      <c r="R281" s="91"/>
      <c r="S281" s="91"/>
      <c r="T281" s="609"/>
    </row>
    <row r="282" spans="1:20">
      <c r="A282" s="89"/>
      <c r="B282" s="71" t="str">
        <f>+'7A - Project ROE Adder'!W8</f>
        <v>Name</v>
      </c>
      <c r="C282" s="90"/>
      <c r="E282" s="90"/>
      <c r="F282" s="490"/>
      <c r="G282" s="91"/>
      <c r="H282" s="91"/>
      <c r="I282" s="91"/>
      <c r="J282" s="91"/>
      <c r="K282" s="91"/>
      <c r="L282" s="91"/>
      <c r="M282" s="91"/>
      <c r="N282" s="91"/>
      <c r="O282" s="91"/>
      <c r="P282" s="91"/>
      <c r="Q282" s="91"/>
      <c r="R282" s="91"/>
      <c r="S282" s="91"/>
      <c r="T282" s="609"/>
    </row>
    <row r="283" spans="1:20">
      <c r="A283" s="89">
        <f>+A280+1</f>
        <v>112</v>
      </c>
      <c r="B283" s="71" t="s">
        <v>683</v>
      </c>
      <c r="C283" s="90"/>
      <c r="E283" s="90">
        <v>206</v>
      </c>
      <c r="F283" s="490"/>
      <c r="G283" s="606">
        <v>0</v>
      </c>
      <c r="H283" s="607">
        <v>0</v>
      </c>
      <c r="I283" s="607">
        <v>0</v>
      </c>
      <c r="J283" s="607">
        <v>0</v>
      </c>
      <c r="K283" s="607">
        <v>0</v>
      </c>
      <c r="L283" s="607">
        <v>0</v>
      </c>
      <c r="M283" s="607">
        <v>0</v>
      </c>
      <c r="N283" s="607">
        <v>0</v>
      </c>
      <c r="O283" s="607">
        <v>0</v>
      </c>
      <c r="P283" s="607">
        <v>0</v>
      </c>
      <c r="Q283" s="607">
        <v>0</v>
      </c>
      <c r="R283" s="605">
        <v>0</v>
      </c>
      <c r="S283" s="605">
        <v>0</v>
      </c>
      <c r="T283" s="608">
        <f>+SUM(G283:S283)/13</f>
        <v>0</v>
      </c>
    </row>
    <row r="284" spans="1:20">
      <c r="A284" s="89">
        <f>+A283+1</f>
        <v>113</v>
      </c>
      <c r="B284" s="71" t="s">
        <v>31</v>
      </c>
      <c r="C284" s="90"/>
      <c r="E284" s="90">
        <v>219</v>
      </c>
      <c r="F284" s="490"/>
      <c r="G284" s="606">
        <v>0</v>
      </c>
      <c r="H284" s="607">
        <v>0</v>
      </c>
      <c r="I284" s="607">
        <v>0</v>
      </c>
      <c r="J284" s="607">
        <v>0</v>
      </c>
      <c r="K284" s="607">
        <v>0</v>
      </c>
      <c r="L284" s="607">
        <v>0</v>
      </c>
      <c r="M284" s="607">
        <v>0</v>
      </c>
      <c r="N284" s="607">
        <v>0</v>
      </c>
      <c r="O284" s="607">
        <v>0</v>
      </c>
      <c r="P284" s="607">
        <v>0</v>
      </c>
      <c r="Q284" s="607">
        <v>0</v>
      </c>
      <c r="R284" s="605">
        <v>0</v>
      </c>
      <c r="S284" s="605">
        <v>0</v>
      </c>
      <c r="T284" s="608">
        <f t="shared" ref="T284" si="19">+SUM(G284:S284)/13</f>
        <v>0</v>
      </c>
    </row>
    <row r="285" spans="1:20">
      <c r="A285" s="89">
        <f>+A284+1</f>
        <v>114</v>
      </c>
      <c r="B285" s="71" t="s">
        <v>41</v>
      </c>
      <c r="C285" s="90"/>
      <c r="E285" s="90">
        <v>274</v>
      </c>
      <c r="F285" s="490"/>
      <c r="G285" s="606">
        <v>0</v>
      </c>
      <c r="H285" s="91"/>
      <c r="I285" s="91"/>
      <c r="J285" s="91"/>
      <c r="K285" s="91"/>
      <c r="L285" s="91"/>
      <c r="M285" s="91"/>
      <c r="N285" s="91"/>
      <c r="O285" s="91"/>
      <c r="P285" s="91"/>
      <c r="Q285" s="91"/>
      <c r="R285" s="41"/>
      <c r="S285" s="605">
        <v>0</v>
      </c>
      <c r="T285" s="608">
        <f>+(G285+S285)/2</f>
        <v>0</v>
      </c>
    </row>
    <row r="286" spans="1:20">
      <c r="E286" s="90"/>
      <c r="G286" s="91"/>
      <c r="H286" s="91"/>
      <c r="I286" s="91"/>
      <c r="J286" s="91"/>
      <c r="K286" s="91"/>
      <c r="L286" s="91"/>
      <c r="M286" s="91"/>
      <c r="N286" s="91"/>
      <c r="O286" s="91"/>
      <c r="P286" s="91"/>
      <c r="Q286" s="91"/>
      <c r="R286" s="91"/>
      <c r="S286" s="91"/>
      <c r="T286" s="609"/>
    </row>
    <row r="287" spans="1:20">
      <c r="A287" s="89"/>
      <c r="B287" s="71" t="str">
        <f>+'7A - Project ROE Adder'!Y8</f>
        <v>Name</v>
      </c>
      <c r="C287" s="90"/>
      <c r="E287" s="90"/>
      <c r="F287" s="490"/>
      <c r="G287" s="91"/>
      <c r="H287" s="91"/>
      <c r="I287" s="91"/>
      <c r="J287" s="91"/>
      <c r="K287" s="91"/>
      <c r="L287" s="91"/>
      <c r="M287" s="91"/>
      <c r="N287" s="91"/>
      <c r="O287" s="91"/>
      <c r="P287" s="91"/>
      <c r="Q287" s="91"/>
      <c r="R287" s="91"/>
      <c r="S287" s="91"/>
      <c r="T287" s="609"/>
    </row>
    <row r="288" spans="1:20">
      <c r="A288" s="89">
        <f>+A285+1</f>
        <v>115</v>
      </c>
      <c r="B288" s="71" t="s">
        <v>683</v>
      </c>
      <c r="C288" s="90"/>
      <c r="E288" s="90">
        <v>206</v>
      </c>
      <c r="F288" s="490"/>
      <c r="G288" s="606">
        <v>0</v>
      </c>
      <c r="H288" s="607">
        <v>0</v>
      </c>
      <c r="I288" s="607">
        <v>0</v>
      </c>
      <c r="J288" s="607">
        <v>0</v>
      </c>
      <c r="K288" s="607">
        <v>0</v>
      </c>
      <c r="L288" s="607">
        <v>0</v>
      </c>
      <c r="M288" s="607">
        <v>0</v>
      </c>
      <c r="N288" s="607">
        <v>0</v>
      </c>
      <c r="O288" s="607">
        <v>0</v>
      </c>
      <c r="P288" s="607">
        <v>0</v>
      </c>
      <c r="Q288" s="607">
        <v>0</v>
      </c>
      <c r="R288" s="605">
        <v>0</v>
      </c>
      <c r="S288" s="605">
        <v>0</v>
      </c>
      <c r="T288" s="608">
        <f>+SUM(G288:S288)/13</f>
        <v>0</v>
      </c>
    </row>
    <row r="289" spans="1:21">
      <c r="A289" s="89">
        <f>+A288+1</f>
        <v>116</v>
      </c>
      <c r="B289" s="71" t="s">
        <v>31</v>
      </c>
      <c r="C289" s="90"/>
      <c r="E289" s="90">
        <v>219</v>
      </c>
      <c r="F289" s="490"/>
      <c r="G289" s="606">
        <v>0</v>
      </c>
      <c r="H289" s="607">
        <v>0</v>
      </c>
      <c r="I289" s="607">
        <v>0</v>
      </c>
      <c r="J289" s="607">
        <v>0</v>
      </c>
      <c r="K289" s="607">
        <v>0</v>
      </c>
      <c r="L289" s="607">
        <v>0</v>
      </c>
      <c r="M289" s="607">
        <v>0</v>
      </c>
      <c r="N289" s="607">
        <v>0</v>
      </c>
      <c r="O289" s="607">
        <v>0</v>
      </c>
      <c r="P289" s="607">
        <v>0</v>
      </c>
      <c r="Q289" s="607">
        <v>0</v>
      </c>
      <c r="R289" s="605">
        <v>0</v>
      </c>
      <c r="S289" s="605">
        <v>0</v>
      </c>
      <c r="T289" s="608">
        <f t="shared" ref="T289" si="20">+SUM(G289:S289)/13</f>
        <v>0</v>
      </c>
    </row>
    <row r="290" spans="1:21">
      <c r="A290" s="89">
        <f>+A289+1</f>
        <v>117</v>
      </c>
      <c r="B290" s="71" t="s">
        <v>41</v>
      </c>
      <c r="C290" s="90"/>
      <c r="E290" s="90">
        <v>274</v>
      </c>
      <c r="F290" s="490"/>
      <c r="G290" s="606">
        <v>0</v>
      </c>
      <c r="H290" s="91"/>
      <c r="I290" s="91"/>
      <c r="J290" s="91"/>
      <c r="K290" s="91"/>
      <c r="L290" s="91"/>
      <c r="M290" s="91"/>
      <c r="N290" s="91"/>
      <c r="O290" s="91"/>
      <c r="P290" s="91"/>
      <c r="Q290" s="91"/>
      <c r="R290" s="41"/>
      <c r="S290" s="605">
        <v>0</v>
      </c>
      <c r="T290" s="608">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73"/>
    </row>
    <row r="292" spans="1:21" ht="18.75" thickBot="1">
      <c r="U292" s="627"/>
    </row>
    <row r="293" spans="1:21" ht="16.5" thickBot="1">
      <c r="A293" s="73" t="s">
        <v>684</v>
      </c>
      <c r="G293" s="189" t="s">
        <v>490</v>
      </c>
      <c r="H293" s="922" t="s">
        <v>682</v>
      </c>
      <c r="I293" s="923"/>
      <c r="J293" s="923"/>
      <c r="K293" s="923"/>
      <c r="L293" s="923"/>
      <c r="M293" s="923"/>
      <c r="N293" s="923"/>
      <c r="O293" s="923"/>
      <c r="P293" s="923"/>
      <c r="Q293" s="923"/>
      <c r="R293" s="923"/>
      <c r="S293" s="924"/>
    </row>
    <row r="294" spans="1:21" ht="32.25" thickBot="1">
      <c r="A294" s="80" t="s">
        <v>491</v>
      </c>
      <c r="B294" s="81" t="s">
        <v>492</v>
      </c>
      <c r="C294" s="81"/>
      <c r="D294" s="81"/>
      <c r="E294" s="83" t="s">
        <v>493</v>
      </c>
      <c r="F294" s="765" t="s">
        <v>494</v>
      </c>
      <c r="G294" s="498" t="s">
        <v>495</v>
      </c>
      <c r="H294" s="82" t="s">
        <v>496</v>
      </c>
      <c r="I294" s="82" t="s">
        <v>497</v>
      </c>
      <c r="J294" s="82" t="s">
        <v>498</v>
      </c>
      <c r="K294" s="82" t="s">
        <v>499</v>
      </c>
      <c r="L294" s="82" t="s">
        <v>374</v>
      </c>
      <c r="M294" s="82" t="s">
        <v>500</v>
      </c>
      <c r="N294" s="82" t="s">
        <v>501</v>
      </c>
      <c r="O294" s="82" t="s">
        <v>502</v>
      </c>
      <c r="P294" s="82" t="s">
        <v>503</v>
      </c>
      <c r="Q294" s="82" t="s">
        <v>504</v>
      </c>
      <c r="R294" s="82" t="s">
        <v>505</v>
      </c>
      <c r="S294" s="82" t="s">
        <v>506</v>
      </c>
      <c r="T294" s="766" t="s">
        <v>685</v>
      </c>
    </row>
    <row r="295" spans="1:21">
      <c r="A295" s="89"/>
      <c r="B295" s="381" t="s">
        <v>686</v>
      </c>
      <c r="C295" s="382"/>
      <c r="F295" s="490"/>
      <c r="T295" s="536"/>
    </row>
    <row r="296" spans="1:21">
      <c r="A296" s="89">
        <f>+A290+1</f>
        <v>118</v>
      </c>
      <c r="B296" s="71" t="s">
        <v>687</v>
      </c>
      <c r="C296" s="90"/>
      <c r="E296" s="90" t="s">
        <v>688</v>
      </c>
      <c r="F296" s="490"/>
      <c r="G296" s="92">
        <v>20201422.66</v>
      </c>
      <c r="H296" s="92">
        <v>20201422.66</v>
      </c>
      <c r="I296" s="92">
        <v>20201422.66</v>
      </c>
      <c r="J296" s="92">
        <v>20201422.66</v>
      </c>
      <c r="K296" s="92">
        <v>20201422.66</v>
      </c>
      <c r="L296" s="92">
        <v>20201422.66</v>
      </c>
      <c r="M296" s="92">
        <v>20201422.66</v>
      </c>
      <c r="N296" s="92">
        <v>20201422.66</v>
      </c>
      <c r="O296" s="92">
        <v>20201422.66</v>
      </c>
      <c r="P296" s="92">
        <v>20201422.66</v>
      </c>
      <c r="Q296" s="92">
        <v>20201422.66</v>
      </c>
      <c r="R296" s="92">
        <v>20201422.66</v>
      </c>
      <c r="S296" s="92">
        <v>20201422.66</v>
      </c>
      <c r="T296" s="608">
        <f>+SUM(G296:S296)/13</f>
        <v>20201422.66</v>
      </c>
    </row>
    <row r="297" spans="1:21">
      <c r="A297" s="89">
        <f>+A296+1</f>
        <v>119</v>
      </c>
      <c r="B297" s="71" t="s">
        <v>31</v>
      </c>
      <c r="C297" s="90"/>
      <c r="E297" s="90">
        <v>219</v>
      </c>
      <c r="F297" s="490"/>
      <c r="G297" s="92">
        <v>600385.19000000006</v>
      </c>
      <c r="H297" s="92">
        <v>637788.10000000009</v>
      </c>
      <c r="I297" s="92">
        <v>675191.01000000013</v>
      </c>
      <c r="J297" s="92">
        <v>712593.92000000016</v>
      </c>
      <c r="K297" s="92">
        <v>749996.83000000019</v>
      </c>
      <c r="L297" s="92">
        <v>787399.74000000022</v>
      </c>
      <c r="M297" s="92">
        <v>824802.65000000026</v>
      </c>
      <c r="N297" s="92">
        <v>862205.56000000029</v>
      </c>
      <c r="O297" s="92">
        <v>899608.47000000032</v>
      </c>
      <c r="P297" s="92">
        <v>937011.38000000035</v>
      </c>
      <c r="Q297" s="92">
        <v>974414.29000000039</v>
      </c>
      <c r="R297" s="92">
        <v>1011817.2000000004</v>
      </c>
      <c r="S297" s="92">
        <v>1049220.1100000003</v>
      </c>
      <c r="T297" s="608">
        <f t="shared" ref="T297" si="21">+SUM(G297:S297)/13</f>
        <v>824802.65000000049</v>
      </c>
    </row>
    <row r="298" spans="1:21">
      <c r="A298" s="89">
        <f>+A297+1</f>
        <v>120</v>
      </c>
      <c r="B298" s="71" t="s">
        <v>689</v>
      </c>
      <c r="C298" s="90"/>
      <c r="E298" s="90">
        <v>336</v>
      </c>
      <c r="F298" s="490"/>
      <c r="G298" s="92"/>
      <c r="H298" s="92">
        <v>37402.910000000033</v>
      </c>
      <c r="I298" s="92">
        <v>37402.910000000033</v>
      </c>
      <c r="J298" s="92">
        <v>37402.910000000033</v>
      </c>
      <c r="K298" s="92">
        <v>37402.910000000033</v>
      </c>
      <c r="L298" s="92">
        <v>37402.910000000033</v>
      </c>
      <c r="M298" s="92">
        <v>37402.910000000033</v>
      </c>
      <c r="N298" s="92">
        <v>37402.910000000033</v>
      </c>
      <c r="O298" s="92">
        <v>37402.910000000033</v>
      </c>
      <c r="P298" s="92">
        <v>37402.910000000033</v>
      </c>
      <c r="Q298" s="92">
        <v>37402.910000000033</v>
      </c>
      <c r="R298" s="92">
        <v>37402.910000000033</v>
      </c>
      <c r="S298" s="92">
        <v>37402.909999999916</v>
      </c>
      <c r="T298" s="608">
        <f>SUM(H298:S298)</f>
        <v>448834.92000000027</v>
      </c>
    </row>
    <row r="299" spans="1:21">
      <c r="A299" s="89"/>
      <c r="C299" s="90"/>
      <c r="E299" s="90"/>
      <c r="F299" s="490"/>
      <c r="G299" s="92"/>
      <c r="H299" s="91"/>
      <c r="I299" s="91"/>
      <c r="J299" s="91"/>
      <c r="K299" s="91"/>
      <c r="L299" s="91"/>
      <c r="M299" s="91"/>
      <c r="N299" s="91"/>
      <c r="O299" s="91"/>
      <c r="P299" s="91"/>
      <c r="Q299" s="91"/>
      <c r="R299" s="41"/>
      <c r="S299" s="41"/>
      <c r="T299" s="608"/>
    </row>
    <row r="300" spans="1:21">
      <c r="A300" s="89"/>
      <c r="B300" s="381" t="str">
        <f>+'7B - Schedule 12 Projects'!I8</f>
        <v>Name</v>
      </c>
      <c r="C300" s="90"/>
      <c r="E300" s="90"/>
      <c r="F300" s="490"/>
      <c r="G300" s="91"/>
      <c r="H300" s="91"/>
      <c r="I300" s="91"/>
      <c r="J300" s="91"/>
      <c r="K300" s="91"/>
      <c r="L300" s="91"/>
      <c r="M300" s="91"/>
      <c r="N300" s="91"/>
      <c r="O300" s="91"/>
      <c r="P300" s="91"/>
      <c r="Q300" s="91"/>
      <c r="R300" s="91"/>
      <c r="S300" s="91"/>
      <c r="T300" s="609"/>
    </row>
    <row r="301" spans="1:21">
      <c r="A301" s="89">
        <f>+A298+1</f>
        <v>121</v>
      </c>
      <c r="B301" s="71" t="s">
        <v>687</v>
      </c>
      <c r="C301" s="90"/>
      <c r="E301" s="90" t="s">
        <v>688</v>
      </c>
      <c r="F301" s="490"/>
      <c r="G301" s="606">
        <v>0</v>
      </c>
      <c r="H301" s="607">
        <v>0</v>
      </c>
      <c r="I301" s="607">
        <v>0</v>
      </c>
      <c r="J301" s="607">
        <v>0</v>
      </c>
      <c r="K301" s="607">
        <v>0</v>
      </c>
      <c r="L301" s="607">
        <v>0</v>
      </c>
      <c r="M301" s="607">
        <v>0</v>
      </c>
      <c r="N301" s="607">
        <v>0</v>
      </c>
      <c r="O301" s="607">
        <v>0</v>
      </c>
      <c r="P301" s="607">
        <v>0</v>
      </c>
      <c r="Q301" s="607">
        <v>0</v>
      </c>
      <c r="R301" s="605">
        <v>0</v>
      </c>
      <c r="S301" s="605">
        <v>0</v>
      </c>
      <c r="T301" s="608">
        <f>+SUM(G301:S301)/13</f>
        <v>0</v>
      </c>
    </row>
    <row r="302" spans="1:21">
      <c r="A302" s="89">
        <f>+A301+1</f>
        <v>122</v>
      </c>
      <c r="B302" s="71" t="s">
        <v>31</v>
      </c>
      <c r="C302" s="90"/>
      <c r="E302" s="90">
        <v>219</v>
      </c>
      <c r="F302" s="490"/>
      <c r="G302" s="606">
        <v>0</v>
      </c>
      <c r="H302" s="607">
        <v>0</v>
      </c>
      <c r="I302" s="607">
        <v>0</v>
      </c>
      <c r="J302" s="607">
        <v>0</v>
      </c>
      <c r="K302" s="607">
        <v>0</v>
      </c>
      <c r="L302" s="607">
        <v>0</v>
      </c>
      <c r="M302" s="607">
        <v>0</v>
      </c>
      <c r="N302" s="607">
        <v>0</v>
      </c>
      <c r="O302" s="607">
        <v>0</v>
      </c>
      <c r="P302" s="607">
        <v>0</v>
      </c>
      <c r="Q302" s="607">
        <v>0</v>
      </c>
      <c r="R302" s="605">
        <v>0</v>
      </c>
      <c r="S302" s="605">
        <v>0</v>
      </c>
      <c r="T302" s="608">
        <f t="shared" ref="T302" si="22">+SUM(G302:S302)/13</f>
        <v>0</v>
      </c>
    </row>
    <row r="303" spans="1:21">
      <c r="A303" s="72">
        <f>+A302+1</f>
        <v>123</v>
      </c>
      <c r="B303" s="71" t="s">
        <v>689</v>
      </c>
      <c r="C303" s="90"/>
      <c r="E303" s="90">
        <v>336</v>
      </c>
      <c r="F303" s="490"/>
      <c r="G303" s="92"/>
      <c r="H303" s="91"/>
      <c r="I303" s="91"/>
      <c r="J303" s="91"/>
      <c r="K303" s="91"/>
      <c r="L303" s="91"/>
      <c r="M303" s="91"/>
      <c r="N303" s="91"/>
      <c r="O303" s="91"/>
      <c r="P303" s="91"/>
      <c r="Q303" s="91"/>
      <c r="R303" s="41"/>
      <c r="S303" s="41"/>
      <c r="T303" s="610">
        <v>0</v>
      </c>
    </row>
    <row r="304" spans="1:21">
      <c r="E304" s="90"/>
      <c r="G304" s="91"/>
      <c r="H304" s="91"/>
      <c r="I304" s="91"/>
      <c r="J304" s="91"/>
      <c r="K304" s="91"/>
      <c r="L304" s="91"/>
      <c r="M304" s="91"/>
      <c r="N304" s="91"/>
      <c r="O304" s="91"/>
      <c r="P304" s="91"/>
      <c r="Q304" s="91"/>
      <c r="R304" s="91"/>
      <c r="S304" s="91"/>
      <c r="T304" s="609"/>
    </row>
    <row r="305" spans="1:20">
      <c r="A305" s="89"/>
      <c r="B305" s="381" t="str">
        <f>+'7B - Schedule 12 Projects'!K8</f>
        <v>Name</v>
      </c>
      <c r="C305" s="90"/>
      <c r="E305" s="90"/>
      <c r="F305" s="490"/>
      <c r="G305" s="91"/>
      <c r="H305" s="91"/>
      <c r="I305" s="91"/>
      <c r="J305" s="91"/>
      <c r="K305" s="91"/>
      <c r="L305" s="91"/>
      <c r="M305" s="91"/>
      <c r="N305" s="91"/>
      <c r="O305" s="91"/>
      <c r="P305" s="91"/>
      <c r="Q305" s="91"/>
      <c r="R305" s="91"/>
      <c r="S305" s="91"/>
      <c r="T305" s="609"/>
    </row>
    <row r="306" spans="1:20">
      <c r="A306" s="89">
        <f>+A303+1</f>
        <v>124</v>
      </c>
      <c r="B306" s="71" t="s">
        <v>687</v>
      </c>
      <c r="C306" s="90"/>
      <c r="E306" s="90" t="s">
        <v>688</v>
      </c>
      <c r="F306" s="490"/>
      <c r="G306" s="606">
        <v>0</v>
      </c>
      <c r="H306" s="607">
        <v>0</v>
      </c>
      <c r="I306" s="607">
        <v>0</v>
      </c>
      <c r="J306" s="607">
        <v>0</v>
      </c>
      <c r="K306" s="607">
        <v>0</v>
      </c>
      <c r="L306" s="607">
        <v>0</v>
      </c>
      <c r="M306" s="607">
        <v>0</v>
      </c>
      <c r="N306" s="607">
        <v>0</v>
      </c>
      <c r="O306" s="607">
        <v>0</v>
      </c>
      <c r="P306" s="607">
        <v>0</v>
      </c>
      <c r="Q306" s="607">
        <v>0</v>
      </c>
      <c r="R306" s="605">
        <v>0</v>
      </c>
      <c r="S306" s="605">
        <v>0</v>
      </c>
      <c r="T306" s="608">
        <f>+SUM(G306:S306)/13</f>
        <v>0</v>
      </c>
    </row>
    <row r="307" spans="1:20">
      <c r="A307" s="89">
        <f>+A306+1</f>
        <v>125</v>
      </c>
      <c r="B307" s="71" t="s">
        <v>31</v>
      </c>
      <c r="C307" s="90"/>
      <c r="E307" s="90">
        <v>219</v>
      </c>
      <c r="F307" s="490"/>
      <c r="G307" s="606">
        <v>0</v>
      </c>
      <c r="H307" s="607">
        <v>0</v>
      </c>
      <c r="I307" s="607">
        <v>0</v>
      </c>
      <c r="J307" s="607">
        <v>0</v>
      </c>
      <c r="K307" s="607">
        <v>0</v>
      </c>
      <c r="L307" s="607">
        <v>0</v>
      </c>
      <c r="M307" s="607">
        <v>0</v>
      </c>
      <c r="N307" s="607">
        <v>0</v>
      </c>
      <c r="O307" s="607">
        <v>0</v>
      </c>
      <c r="P307" s="607">
        <v>0</v>
      </c>
      <c r="Q307" s="607">
        <v>0</v>
      </c>
      <c r="R307" s="605">
        <v>0</v>
      </c>
      <c r="S307" s="605">
        <v>0</v>
      </c>
      <c r="T307" s="608">
        <f t="shared" ref="T307" si="23">+SUM(G307:S307)/13</f>
        <v>0</v>
      </c>
    </row>
    <row r="308" spans="1:20">
      <c r="A308" s="72">
        <f>+A307+1</f>
        <v>126</v>
      </c>
      <c r="B308" s="71" t="s">
        <v>689</v>
      </c>
      <c r="C308" s="90"/>
      <c r="E308" s="90">
        <v>336</v>
      </c>
      <c r="F308" s="490"/>
      <c r="G308" s="92"/>
      <c r="H308" s="91"/>
      <c r="I308" s="91"/>
      <c r="J308" s="91"/>
      <c r="K308" s="91"/>
      <c r="L308" s="91"/>
      <c r="M308" s="91"/>
      <c r="N308" s="91"/>
      <c r="O308" s="91"/>
      <c r="P308" s="91"/>
      <c r="Q308" s="91"/>
      <c r="R308" s="41"/>
      <c r="S308" s="41"/>
      <c r="T308" s="610">
        <v>0</v>
      </c>
    </row>
    <row r="309" spans="1:20">
      <c r="E309" s="90"/>
      <c r="G309" s="91"/>
      <c r="H309" s="91"/>
      <c r="I309" s="91"/>
      <c r="J309" s="91"/>
      <c r="K309" s="91"/>
      <c r="L309" s="91"/>
      <c r="M309" s="91"/>
      <c r="N309" s="91"/>
      <c r="O309" s="91"/>
      <c r="P309" s="91"/>
      <c r="Q309" s="91"/>
      <c r="R309" s="91"/>
      <c r="S309" s="91"/>
      <c r="T309" s="609"/>
    </row>
    <row r="310" spans="1:20">
      <c r="A310" s="89"/>
      <c r="B310" s="381" t="str">
        <f>+'7B - Schedule 12 Projects'!M8</f>
        <v>Name</v>
      </c>
      <c r="C310" s="90"/>
      <c r="E310" s="90"/>
      <c r="F310" s="490"/>
      <c r="G310" s="91"/>
      <c r="H310" s="91"/>
      <c r="I310" s="91"/>
      <c r="J310" s="91"/>
      <c r="K310" s="91"/>
      <c r="L310" s="91"/>
      <c r="M310" s="91"/>
      <c r="N310" s="91"/>
      <c r="O310" s="91"/>
      <c r="P310" s="91"/>
      <c r="Q310" s="91"/>
      <c r="R310" s="91"/>
      <c r="S310" s="91"/>
      <c r="T310" s="609"/>
    </row>
    <row r="311" spans="1:20">
      <c r="A311" s="89">
        <f>+A308+1</f>
        <v>127</v>
      </c>
      <c r="B311" s="71" t="s">
        <v>687</v>
      </c>
      <c r="C311" s="90"/>
      <c r="E311" s="90" t="s">
        <v>688</v>
      </c>
      <c r="F311" s="490"/>
      <c r="G311" s="606">
        <v>0</v>
      </c>
      <c r="H311" s="607">
        <v>0</v>
      </c>
      <c r="I311" s="607">
        <v>0</v>
      </c>
      <c r="J311" s="607">
        <v>0</v>
      </c>
      <c r="K311" s="607">
        <v>0</v>
      </c>
      <c r="L311" s="607">
        <v>0</v>
      </c>
      <c r="M311" s="607">
        <v>0</v>
      </c>
      <c r="N311" s="607">
        <v>0</v>
      </c>
      <c r="O311" s="607">
        <v>0</v>
      </c>
      <c r="P311" s="607">
        <v>0</v>
      </c>
      <c r="Q311" s="607">
        <v>0</v>
      </c>
      <c r="R311" s="605">
        <v>0</v>
      </c>
      <c r="S311" s="605">
        <v>0</v>
      </c>
      <c r="T311" s="608">
        <f>+SUM(G311:S311)/13</f>
        <v>0</v>
      </c>
    </row>
    <row r="312" spans="1:20">
      <c r="A312" s="89">
        <f>+A311+1</f>
        <v>128</v>
      </c>
      <c r="B312" s="71" t="s">
        <v>31</v>
      </c>
      <c r="C312" s="90"/>
      <c r="E312" s="90">
        <v>219</v>
      </c>
      <c r="F312" s="490"/>
      <c r="G312" s="606">
        <v>0</v>
      </c>
      <c r="H312" s="607">
        <v>0</v>
      </c>
      <c r="I312" s="607">
        <v>0</v>
      </c>
      <c r="J312" s="607">
        <v>0</v>
      </c>
      <c r="K312" s="607">
        <v>0</v>
      </c>
      <c r="L312" s="607">
        <v>0</v>
      </c>
      <c r="M312" s="607">
        <v>0</v>
      </c>
      <c r="N312" s="607">
        <v>0</v>
      </c>
      <c r="O312" s="607">
        <v>0</v>
      </c>
      <c r="P312" s="607">
        <v>0</v>
      </c>
      <c r="Q312" s="607">
        <v>0</v>
      </c>
      <c r="R312" s="605">
        <v>0</v>
      </c>
      <c r="S312" s="605">
        <v>0</v>
      </c>
      <c r="T312" s="608">
        <f t="shared" ref="T312" si="24">+SUM(G312:S312)/13</f>
        <v>0</v>
      </c>
    </row>
    <row r="313" spans="1:20">
      <c r="A313" s="72">
        <f>+A312+1</f>
        <v>129</v>
      </c>
      <c r="B313" s="71" t="s">
        <v>689</v>
      </c>
      <c r="C313" s="90"/>
      <c r="E313" s="90">
        <v>336</v>
      </c>
      <c r="F313" s="490"/>
      <c r="G313" s="92"/>
      <c r="H313" s="91"/>
      <c r="I313" s="91"/>
      <c r="J313" s="91"/>
      <c r="K313" s="91"/>
      <c r="L313" s="91"/>
      <c r="M313" s="91"/>
      <c r="N313" s="91"/>
      <c r="O313" s="91"/>
      <c r="P313" s="91"/>
      <c r="Q313" s="91"/>
      <c r="R313" s="41"/>
      <c r="S313" s="41"/>
      <c r="T313" s="610">
        <v>0</v>
      </c>
    </row>
    <row r="314" spans="1:20">
      <c r="C314" s="90"/>
      <c r="E314" s="90"/>
      <c r="F314" s="490"/>
      <c r="G314" s="92"/>
      <c r="H314" s="91"/>
      <c r="I314" s="91"/>
      <c r="J314" s="91"/>
      <c r="K314" s="91"/>
      <c r="L314" s="91"/>
      <c r="M314" s="91"/>
      <c r="N314" s="91"/>
      <c r="O314" s="91"/>
      <c r="P314" s="91"/>
      <c r="Q314" s="91"/>
      <c r="R314" s="41"/>
      <c r="S314" s="41"/>
      <c r="T314" s="608"/>
    </row>
    <row r="315" spans="1:20">
      <c r="A315" s="89"/>
      <c r="B315" s="381" t="str">
        <f>+'7B - Schedule 12 Projects'!O8</f>
        <v>Name</v>
      </c>
      <c r="C315" s="90"/>
      <c r="E315" s="90"/>
      <c r="F315" s="490"/>
      <c r="G315" s="91"/>
      <c r="H315" s="91"/>
      <c r="I315" s="91"/>
      <c r="J315" s="91"/>
      <c r="K315" s="91"/>
      <c r="L315" s="91"/>
      <c r="M315" s="91"/>
      <c r="N315" s="91"/>
      <c r="O315" s="91"/>
      <c r="P315" s="91"/>
      <c r="Q315" s="91"/>
      <c r="R315" s="91"/>
      <c r="S315" s="91"/>
      <c r="T315" s="609"/>
    </row>
    <row r="316" spans="1:20">
      <c r="A316" s="89">
        <f>+A313+1</f>
        <v>130</v>
      </c>
      <c r="B316" s="71" t="s">
        <v>687</v>
      </c>
      <c r="C316" s="90"/>
      <c r="E316" s="90" t="s">
        <v>688</v>
      </c>
      <c r="F316" s="490"/>
      <c r="G316" s="606">
        <v>0</v>
      </c>
      <c r="H316" s="607">
        <v>0</v>
      </c>
      <c r="I316" s="607">
        <v>0</v>
      </c>
      <c r="J316" s="607">
        <v>0</v>
      </c>
      <c r="K316" s="607">
        <v>0</v>
      </c>
      <c r="L316" s="607">
        <v>0</v>
      </c>
      <c r="M316" s="607">
        <v>0</v>
      </c>
      <c r="N316" s="607">
        <v>0</v>
      </c>
      <c r="O316" s="607">
        <v>0</v>
      </c>
      <c r="P316" s="607">
        <v>0</v>
      </c>
      <c r="Q316" s="607">
        <v>0</v>
      </c>
      <c r="R316" s="605">
        <v>0</v>
      </c>
      <c r="S316" s="605">
        <v>0</v>
      </c>
      <c r="T316" s="608">
        <f>+SUM(G316:S316)/13</f>
        <v>0</v>
      </c>
    </row>
    <row r="317" spans="1:20">
      <c r="A317" s="89">
        <f>+A316+1</f>
        <v>131</v>
      </c>
      <c r="B317" s="71" t="s">
        <v>31</v>
      </c>
      <c r="C317" s="90"/>
      <c r="E317" s="90">
        <v>219</v>
      </c>
      <c r="F317" s="490"/>
      <c r="G317" s="606">
        <v>0</v>
      </c>
      <c r="H317" s="607">
        <v>0</v>
      </c>
      <c r="I317" s="607">
        <v>0</v>
      </c>
      <c r="J317" s="607">
        <v>0</v>
      </c>
      <c r="K317" s="607">
        <v>0</v>
      </c>
      <c r="L317" s="607">
        <v>0</v>
      </c>
      <c r="M317" s="607">
        <v>0</v>
      </c>
      <c r="N317" s="607">
        <v>0</v>
      </c>
      <c r="O317" s="607">
        <v>0</v>
      </c>
      <c r="P317" s="607">
        <v>0</v>
      </c>
      <c r="Q317" s="607">
        <v>0</v>
      </c>
      <c r="R317" s="605">
        <v>0</v>
      </c>
      <c r="S317" s="605">
        <v>0</v>
      </c>
      <c r="T317" s="608">
        <f t="shared" ref="T317" si="25">+SUM(G317:S317)/13</f>
        <v>0</v>
      </c>
    </row>
    <row r="318" spans="1:20">
      <c r="A318" s="89">
        <f>+A317+1</f>
        <v>132</v>
      </c>
      <c r="B318" s="71" t="s">
        <v>689</v>
      </c>
      <c r="C318" s="90"/>
      <c r="E318" s="90">
        <v>336</v>
      </c>
      <c r="F318" s="490"/>
      <c r="G318" s="92"/>
      <c r="H318" s="91"/>
      <c r="I318" s="91"/>
      <c r="J318" s="91"/>
      <c r="K318" s="91"/>
      <c r="L318" s="91"/>
      <c r="M318" s="91"/>
      <c r="N318" s="91"/>
      <c r="O318" s="91"/>
      <c r="P318" s="91"/>
      <c r="Q318" s="91"/>
      <c r="R318" s="41"/>
      <c r="S318" s="41"/>
      <c r="T318" s="610">
        <v>0</v>
      </c>
    </row>
    <row r="319" spans="1:20">
      <c r="A319" s="89"/>
      <c r="C319" s="90"/>
      <c r="E319" s="90"/>
      <c r="F319" s="490"/>
      <c r="G319" s="92"/>
      <c r="H319" s="91"/>
      <c r="I319" s="91"/>
      <c r="J319" s="91"/>
      <c r="K319" s="91"/>
      <c r="L319" s="91"/>
      <c r="M319" s="91"/>
      <c r="N319" s="91"/>
      <c r="O319" s="91"/>
      <c r="P319" s="91"/>
      <c r="Q319" s="91"/>
      <c r="R319" s="41"/>
      <c r="S319" s="41"/>
      <c r="T319" s="608"/>
    </row>
    <row r="320" spans="1:20">
      <c r="A320" s="89"/>
      <c r="B320" s="381" t="str">
        <f>+'7B - Schedule 12 Projects'!Q8</f>
        <v>Name</v>
      </c>
      <c r="C320" s="90"/>
      <c r="E320" s="90"/>
      <c r="F320" s="490"/>
      <c r="G320" s="91"/>
      <c r="H320" s="91"/>
      <c r="I320" s="91"/>
      <c r="J320" s="91"/>
      <c r="K320" s="91"/>
      <c r="L320" s="91"/>
      <c r="M320" s="91"/>
      <c r="N320" s="91"/>
      <c r="O320" s="91"/>
      <c r="P320" s="91"/>
      <c r="Q320" s="91"/>
      <c r="R320" s="91"/>
      <c r="S320" s="91"/>
      <c r="T320" s="609"/>
    </row>
    <row r="321" spans="1:20">
      <c r="A321" s="89">
        <f>+A318+1</f>
        <v>133</v>
      </c>
      <c r="B321" s="71" t="s">
        <v>687</v>
      </c>
      <c r="C321" s="90"/>
      <c r="E321" s="90" t="s">
        <v>688</v>
      </c>
      <c r="F321" s="490"/>
      <c r="G321" s="606">
        <v>0</v>
      </c>
      <c r="H321" s="607">
        <v>0</v>
      </c>
      <c r="I321" s="607">
        <v>0</v>
      </c>
      <c r="J321" s="607">
        <v>0</v>
      </c>
      <c r="K321" s="607">
        <v>0</v>
      </c>
      <c r="L321" s="607">
        <v>0</v>
      </c>
      <c r="M321" s="607">
        <v>0</v>
      </c>
      <c r="N321" s="607">
        <v>0</v>
      </c>
      <c r="O321" s="607">
        <v>0</v>
      </c>
      <c r="P321" s="607">
        <v>0</v>
      </c>
      <c r="Q321" s="607">
        <v>0</v>
      </c>
      <c r="R321" s="605">
        <v>0</v>
      </c>
      <c r="S321" s="605">
        <v>0</v>
      </c>
      <c r="T321" s="608">
        <f>+SUM(G321:S321)/13</f>
        <v>0</v>
      </c>
    </row>
    <row r="322" spans="1:20">
      <c r="A322" s="89">
        <f>+A321+1</f>
        <v>134</v>
      </c>
      <c r="B322" s="71" t="s">
        <v>31</v>
      </c>
      <c r="C322" s="90"/>
      <c r="E322" s="90">
        <v>219</v>
      </c>
      <c r="F322" s="490"/>
      <c r="G322" s="606">
        <v>0</v>
      </c>
      <c r="H322" s="607">
        <v>0</v>
      </c>
      <c r="I322" s="607">
        <v>0</v>
      </c>
      <c r="J322" s="607">
        <v>0</v>
      </c>
      <c r="K322" s="607">
        <v>0</v>
      </c>
      <c r="L322" s="607">
        <v>0</v>
      </c>
      <c r="M322" s="607">
        <v>0</v>
      </c>
      <c r="N322" s="607">
        <v>0</v>
      </c>
      <c r="O322" s="607">
        <v>0</v>
      </c>
      <c r="P322" s="607">
        <v>0</v>
      </c>
      <c r="Q322" s="607">
        <v>0</v>
      </c>
      <c r="R322" s="605">
        <v>0</v>
      </c>
      <c r="S322" s="605">
        <v>0</v>
      </c>
      <c r="T322" s="608">
        <f t="shared" ref="T322" si="26">+SUM(G322:S322)/13</f>
        <v>0</v>
      </c>
    </row>
    <row r="323" spans="1:20">
      <c r="A323" s="89">
        <f>+A322+1</f>
        <v>135</v>
      </c>
      <c r="B323" s="71" t="s">
        <v>689</v>
      </c>
      <c r="C323" s="90"/>
      <c r="E323" s="90">
        <v>336</v>
      </c>
      <c r="F323" s="490"/>
      <c r="G323" s="92"/>
      <c r="H323" s="91"/>
      <c r="I323" s="91"/>
      <c r="J323" s="91"/>
      <c r="K323" s="91"/>
      <c r="L323" s="91"/>
      <c r="M323" s="91"/>
      <c r="N323" s="91"/>
      <c r="O323" s="91"/>
      <c r="P323" s="91"/>
      <c r="Q323" s="91"/>
      <c r="R323" s="41"/>
      <c r="S323" s="41"/>
      <c r="T323" s="610">
        <v>0</v>
      </c>
    </row>
    <row r="324" spans="1:20">
      <c r="A324" s="89"/>
      <c r="C324" s="90"/>
      <c r="E324" s="90"/>
      <c r="F324" s="490"/>
      <c r="G324" s="92"/>
      <c r="H324" s="91"/>
      <c r="I324" s="91"/>
      <c r="J324" s="91"/>
      <c r="K324" s="91"/>
      <c r="L324" s="91"/>
      <c r="M324" s="91"/>
      <c r="N324" s="91"/>
      <c r="O324" s="91"/>
      <c r="P324" s="91"/>
      <c r="Q324" s="91"/>
      <c r="R324" s="41"/>
      <c r="S324" s="41"/>
      <c r="T324" s="608"/>
    </row>
    <row r="325" spans="1:20">
      <c r="A325" s="89"/>
      <c r="B325" s="381" t="str">
        <f>+'7B - Schedule 12 Projects'!S8</f>
        <v>Name</v>
      </c>
      <c r="C325" s="90"/>
      <c r="E325" s="90"/>
      <c r="F325" s="490"/>
      <c r="G325" s="91"/>
      <c r="H325" s="91"/>
      <c r="I325" s="91"/>
      <c r="J325" s="91"/>
      <c r="K325" s="91"/>
      <c r="L325" s="91"/>
      <c r="M325" s="91"/>
      <c r="N325" s="91"/>
      <c r="O325" s="91"/>
      <c r="P325" s="91"/>
      <c r="Q325" s="91"/>
      <c r="R325" s="91"/>
      <c r="S325" s="91"/>
      <c r="T325" s="609"/>
    </row>
    <row r="326" spans="1:20">
      <c r="A326" s="89">
        <f>+A323+1</f>
        <v>136</v>
      </c>
      <c r="B326" s="71" t="s">
        <v>687</v>
      </c>
      <c r="C326" s="90"/>
      <c r="E326" s="90" t="s">
        <v>688</v>
      </c>
      <c r="F326" s="490"/>
      <c r="G326" s="606">
        <v>0</v>
      </c>
      <c r="H326" s="607">
        <v>0</v>
      </c>
      <c r="I326" s="607">
        <v>0</v>
      </c>
      <c r="J326" s="607">
        <v>0</v>
      </c>
      <c r="K326" s="607">
        <v>0</v>
      </c>
      <c r="L326" s="607">
        <v>0</v>
      </c>
      <c r="M326" s="607">
        <v>0</v>
      </c>
      <c r="N326" s="607">
        <v>0</v>
      </c>
      <c r="O326" s="607">
        <v>0</v>
      </c>
      <c r="P326" s="607">
        <v>0</v>
      </c>
      <c r="Q326" s="607">
        <v>0</v>
      </c>
      <c r="R326" s="605">
        <v>0</v>
      </c>
      <c r="S326" s="605">
        <v>0</v>
      </c>
      <c r="T326" s="608">
        <f>+SUM(G326:S326)/13</f>
        <v>0</v>
      </c>
    </row>
    <row r="327" spans="1:20">
      <c r="A327" s="89">
        <f>+A326+1</f>
        <v>137</v>
      </c>
      <c r="B327" s="71" t="s">
        <v>31</v>
      </c>
      <c r="C327" s="90"/>
      <c r="E327" s="90">
        <v>219</v>
      </c>
      <c r="F327" s="490"/>
      <c r="G327" s="606">
        <v>0</v>
      </c>
      <c r="H327" s="607">
        <v>0</v>
      </c>
      <c r="I327" s="607">
        <v>0</v>
      </c>
      <c r="J327" s="607">
        <v>0</v>
      </c>
      <c r="K327" s="607">
        <v>0</v>
      </c>
      <c r="L327" s="607">
        <v>0</v>
      </c>
      <c r="M327" s="607">
        <v>0</v>
      </c>
      <c r="N327" s="607">
        <v>0</v>
      </c>
      <c r="O327" s="607">
        <v>0</v>
      </c>
      <c r="P327" s="607">
        <v>0</v>
      </c>
      <c r="Q327" s="607">
        <v>0</v>
      </c>
      <c r="R327" s="605">
        <v>0</v>
      </c>
      <c r="S327" s="605">
        <v>0</v>
      </c>
      <c r="T327" s="608">
        <f t="shared" ref="T327" si="27">+SUM(G327:S327)/13</f>
        <v>0</v>
      </c>
    </row>
    <row r="328" spans="1:20">
      <c r="A328" s="89">
        <f>+A327+1</f>
        <v>138</v>
      </c>
      <c r="B328" s="71" t="s">
        <v>689</v>
      </c>
      <c r="C328" s="90"/>
      <c r="E328" s="90">
        <v>336</v>
      </c>
      <c r="F328" s="490"/>
      <c r="G328" s="92"/>
      <c r="H328" s="91"/>
      <c r="I328" s="91"/>
      <c r="J328" s="91"/>
      <c r="K328" s="91"/>
      <c r="L328" s="91"/>
      <c r="M328" s="91"/>
      <c r="N328" s="91"/>
      <c r="O328" s="91"/>
      <c r="P328" s="91"/>
      <c r="Q328" s="91"/>
      <c r="R328" s="41"/>
      <c r="S328" s="41"/>
      <c r="T328" s="610">
        <v>0</v>
      </c>
    </row>
    <row r="329" spans="1:20">
      <c r="A329" s="89"/>
      <c r="C329" s="90"/>
      <c r="E329" s="90"/>
      <c r="F329" s="490"/>
      <c r="G329" s="92"/>
      <c r="H329" s="91"/>
      <c r="I329" s="91"/>
      <c r="J329" s="91"/>
      <c r="K329" s="91"/>
      <c r="L329" s="91"/>
      <c r="M329" s="91"/>
      <c r="N329" s="91"/>
      <c r="O329" s="91"/>
      <c r="P329" s="91"/>
      <c r="Q329" s="91"/>
      <c r="R329" s="41"/>
      <c r="S329" s="41"/>
      <c r="T329" s="608"/>
    </row>
    <row r="330" spans="1:20">
      <c r="A330" s="89"/>
      <c r="B330" s="381" t="str">
        <f>+'7B - Schedule 12 Projects'!U8</f>
        <v>Name</v>
      </c>
      <c r="C330" s="90"/>
      <c r="E330" s="90"/>
      <c r="F330" s="490"/>
      <c r="G330" s="91"/>
      <c r="H330" s="91"/>
      <c r="I330" s="91"/>
      <c r="J330" s="91"/>
      <c r="K330" s="91"/>
      <c r="L330" s="91"/>
      <c r="M330" s="91"/>
      <c r="N330" s="91"/>
      <c r="O330" s="91"/>
      <c r="P330" s="91"/>
      <c r="Q330" s="91"/>
      <c r="R330" s="91"/>
      <c r="S330" s="91"/>
      <c r="T330" s="609"/>
    </row>
    <row r="331" spans="1:20">
      <c r="A331" s="89">
        <f>+A328+1</f>
        <v>139</v>
      </c>
      <c r="B331" s="71" t="s">
        <v>687</v>
      </c>
      <c r="C331" s="90"/>
      <c r="E331" s="90" t="s">
        <v>688</v>
      </c>
      <c r="F331" s="490"/>
      <c r="G331" s="606">
        <v>0</v>
      </c>
      <c r="H331" s="607">
        <v>0</v>
      </c>
      <c r="I331" s="607">
        <v>0</v>
      </c>
      <c r="J331" s="607">
        <v>0</v>
      </c>
      <c r="K331" s="607">
        <v>0</v>
      </c>
      <c r="L331" s="607">
        <v>0</v>
      </c>
      <c r="M331" s="607">
        <v>0</v>
      </c>
      <c r="N331" s="607">
        <v>0</v>
      </c>
      <c r="O331" s="607">
        <v>0</v>
      </c>
      <c r="P331" s="607">
        <v>0</v>
      </c>
      <c r="Q331" s="607">
        <v>0</v>
      </c>
      <c r="R331" s="605">
        <v>0</v>
      </c>
      <c r="S331" s="605">
        <v>0</v>
      </c>
      <c r="T331" s="608">
        <f>+SUM(G331:S331)/13</f>
        <v>0</v>
      </c>
    </row>
    <row r="332" spans="1:20">
      <c r="A332" s="89">
        <f>+A331+1</f>
        <v>140</v>
      </c>
      <c r="B332" s="71" t="s">
        <v>31</v>
      </c>
      <c r="C332" s="90"/>
      <c r="E332" s="90">
        <v>219</v>
      </c>
      <c r="F332" s="490"/>
      <c r="G332" s="606">
        <v>0</v>
      </c>
      <c r="H332" s="607">
        <v>0</v>
      </c>
      <c r="I332" s="607">
        <v>0</v>
      </c>
      <c r="J332" s="607">
        <v>0</v>
      </c>
      <c r="K332" s="607">
        <v>0</v>
      </c>
      <c r="L332" s="607">
        <v>0</v>
      </c>
      <c r="M332" s="607">
        <v>0</v>
      </c>
      <c r="N332" s="607">
        <v>0</v>
      </c>
      <c r="O332" s="607">
        <v>0</v>
      </c>
      <c r="P332" s="607">
        <v>0</v>
      </c>
      <c r="Q332" s="607">
        <v>0</v>
      </c>
      <c r="R332" s="605">
        <v>0</v>
      </c>
      <c r="S332" s="605">
        <v>0</v>
      </c>
      <c r="T332" s="608">
        <f t="shared" ref="T332" si="28">+SUM(G332:S332)/13</f>
        <v>0</v>
      </c>
    </row>
    <row r="333" spans="1:20">
      <c r="A333" s="89">
        <f>+A332+1</f>
        <v>141</v>
      </c>
      <c r="B333" s="71" t="s">
        <v>689</v>
      </c>
      <c r="C333" s="90"/>
      <c r="E333" s="90">
        <v>336</v>
      </c>
      <c r="F333" s="490"/>
      <c r="G333" s="92"/>
      <c r="H333" s="91"/>
      <c r="I333" s="91"/>
      <c r="J333" s="91"/>
      <c r="K333" s="91"/>
      <c r="L333" s="91"/>
      <c r="M333" s="91"/>
      <c r="N333" s="91"/>
      <c r="O333" s="91"/>
      <c r="P333" s="91"/>
      <c r="Q333" s="91"/>
      <c r="R333" s="41"/>
      <c r="S333" s="41"/>
      <c r="T333" s="610">
        <v>0</v>
      </c>
    </row>
    <row r="334" spans="1:20">
      <c r="A334" s="89"/>
      <c r="C334" s="90"/>
      <c r="E334" s="90"/>
      <c r="F334" s="490"/>
      <c r="G334" s="92"/>
      <c r="H334" s="91"/>
      <c r="I334" s="91"/>
      <c r="J334" s="91"/>
      <c r="K334" s="91"/>
      <c r="L334" s="91"/>
      <c r="M334" s="91"/>
      <c r="N334" s="91"/>
      <c r="O334" s="91"/>
      <c r="P334" s="91"/>
      <c r="Q334" s="91"/>
      <c r="R334" s="41"/>
      <c r="S334" s="41"/>
      <c r="T334" s="608"/>
    </row>
    <row r="335" spans="1:20">
      <c r="A335" s="89"/>
      <c r="B335" s="381" t="str">
        <f>+'7B - Schedule 12 Projects'!W8</f>
        <v>Name</v>
      </c>
      <c r="C335" s="90"/>
      <c r="E335" s="90"/>
      <c r="F335" s="490"/>
      <c r="G335" s="91"/>
      <c r="H335" s="91"/>
      <c r="I335" s="91"/>
      <c r="J335" s="91"/>
      <c r="K335" s="91"/>
      <c r="L335" s="91"/>
      <c r="M335" s="91"/>
      <c r="N335" s="91"/>
      <c r="O335" s="91"/>
      <c r="P335" s="91"/>
      <c r="Q335" s="91"/>
      <c r="R335" s="91"/>
      <c r="S335" s="91"/>
      <c r="T335" s="609"/>
    </row>
    <row r="336" spans="1:20">
      <c r="A336" s="89">
        <f>+A333+1</f>
        <v>142</v>
      </c>
      <c r="B336" s="71" t="s">
        <v>687</v>
      </c>
      <c r="C336" s="90"/>
      <c r="E336" s="90" t="s">
        <v>688</v>
      </c>
      <c r="F336" s="490"/>
      <c r="G336" s="606">
        <v>0</v>
      </c>
      <c r="H336" s="607">
        <v>0</v>
      </c>
      <c r="I336" s="607">
        <v>0</v>
      </c>
      <c r="J336" s="607">
        <v>0</v>
      </c>
      <c r="K336" s="607">
        <v>0</v>
      </c>
      <c r="L336" s="607">
        <v>0</v>
      </c>
      <c r="M336" s="607">
        <v>0</v>
      </c>
      <c r="N336" s="607">
        <v>0</v>
      </c>
      <c r="O336" s="607">
        <v>0</v>
      </c>
      <c r="P336" s="607">
        <v>0</v>
      </c>
      <c r="Q336" s="607">
        <v>0</v>
      </c>
      <c r="R336" s="605">
        <v>0</v>
      </c>
      <c r="S336" s="605">
        <v>0</v>
      </c>
      <c r="T336" s="608">
        <f>+SUM(G336:S336)/13</f>
        <v>0</v>
      </c>
    </row>
    <row r="337" spans="1:20">
      <c r="A337" s="89">
        <f>+A336+1</f>
        <v>143</v>
      </c>
      <c r="B337" s="71" t="s">
        <v>31</v>
      </c>
      <c r="C337" s="90"/>
      <c r="E337" s="90">
        <v>219</v>
      </c>
      <c r="F337" s="490"/>
      <c r="G337" s="606">
        <v>0</v>
      </c>
      <c r="H337" s="607">
        <v>0</v>
      </c>
      <c r="I337" s="607">
        <v>0</v>
      </c>
      <c r="J337" s="607">
        <v>0</v>
      </c>
      <c r="K337" s="607">
        <v>0</v>
      </c>
      <c r="L337" s="607">
        <v>0</v>
      </c>
      <c r="M337" s="607">
        <v>0</v>
      </c>
      <c r="N337" s="607">
        <v>0</v>
      </c>
      <c r="O337" s="607">
        <v>0</v>
      </c>
      <c r="P337" s="607">
        <v>0</v>
      </c>
      <c r="Q337" s="607">
        <v>0</v>
      </c>
      <c r="R337" s="605">
        <v>0</v>
      </c>
      <c r="S337" s="605">
        <v>0</v>
      </c>
      <c r="T337" s="608">
        <f t="shared" ref="T337" si="29">+SUM(G337:S337)/13</f>
        <v>0</v>
      </c>
    </row>
    <row r="338" spans="1:20">
      <c r="A338" s="89">
        <f>+A337+1</f>
        <v>144</v>
      </c>
      <c r="B338" s="71" t="s">
        <v>689</v>
      </c>
      <c r="C338" s="90"/>
      <c r="E338" s="90">
        <v>336</v>
      </c>
      <c r="F338" s="490"/>
      <c r="G338" s="92"/>
      <c r="H338" s="91"/>
      <c r="I338" s="91"/>
      <c r="J338" s="91"/>
      <c r="K338" s="91"/>
      <c r="L338" s="91"/>
      <c r="M338" s="91"/>
      <c r="N338" s="91"/>
      <c r="O338" s="91"/>
      <c r="P338" s="91"/>
      <c r="Q338" s="91"/>
      <c r="R338" s="41"/>
      <c r="S338" s="41"/>
      <c r="T338" s="610">
        <v>0</v>
      </c>
    </row>
    <row r="339" spans="1:20">
      <c r="A339" s="89"/>
      <c r="C339" s="90"/>
      <c r="E339" s="90"/>
      <c r="F339" s="490"/>
      <c r="G339" s="92"/>
      <c r="H339" s="91"/>
      <c r="I339" s="91"/>
      <c r="J339" s="91"/>
      <c r="K339" s="91"/>
      <c r="L339" s="91"/>
      <c r="M339" s="91"/>
      <c r="N339" s="91"/>
      <c r="O339" s="91"/>
      <c r="P339" s="91"/>
      <c r="Q339" s="91"/>
      <c r="R339" s="41"/>
      <c r="S339" s="41"/>
      <c r="T339" s="608"/>
    </row>
    <row r="340" spans="1:20">
      <c r="A340" s="89"/>
      <c r="B340" s="381" t="str">
        <f>+'7B - Schedule 12 Projects'!Y8</f>
        <v>Name</v>
      </c>
      <c r="C340" s="90"/>
      <c r="E340" s="90"/>
      <c r="F340" s="490"/>
      <c r="G340" s="91"/>
      <c r="H340" s="91"/>
      <c r="I340" s="91"/>
      <c r="J340" s="91"/>
      <c r="K340" s="91"/>
      <c r="L340" s="91"/>
      <c r="M340" s="91"/>
      <c r="N340" s="91"/>
      <c r="O340" s="91"/>
      <c r="P340" s="91"/>
      <c r="Q340" s="91"/>
      <c r="R340" s="91"/>
      <c r="S340" s="91"/>
      <c r="T340" s="609"/>
    </row>
    <row r="341" spans="1:20">
      <c r="A341" s="89">
        <f>+A338+1</f>
        <v>145</v>
      </c>
      <c r="B341" s="71" t="s">
        <v>687</v>
      </c>
      <c r="C341" s="90"/>
      <c r="E341" s="90" t="s">
        <v>688</v>
      </c>
      <c r="F341" s="490"/>
      <c r="G341" s="606">
        <v>0</v>
      </c>
      <c r="H341" s="607">
        <v>0</v>
      </c>
      <c r="I341" s="607">
        <v>0</v>
      </c>
      <c r="J341" s="607">
        <v>0</v>
      </c>
      <c r="K341" s="607">
        <v>0</v>
      </c>
      <c r="L341" s="607">
        <v>0</v>
      </c>
      <c r="M341" s="607">
        <v>0</v>
      </c>
      <c r="N341" s="607">
        <v>0</v>
      </c>
      <c r="O341" s="607">
        <v>0</v>
      </c>
      <c r="P341" s="607">
        <v>0</v>
      </c>
      <c r="Q341" s="607">
        <v>0</v>
      </c>
      <c r="R341" s="605">
        <v>0</v>
      </c>
      <c r="S341" s="605">
        <v>0</v>
      </c>
      <c r="T341" s="608">
        <f>+SUM(G341:S341)/13</f>
        <v>0</v>
      </c>
    </row>
    <row r="342" spans="1:20">
      <c r="A342" s="89">
        <f>+A341+1</f>
        <v>146</v>
      </c>
      <c r="B342" s="71" t="s">
        <v>31</v>
      </c>
      <c r="C342" s="90"/>
      <c r="E342" s="90">
        <v>219</v>
      </c>
      <c r="F342" s="490"/>
      <c r="G342" s="606">
        <v>0</v>
      </c>
      <c r="H342" s="607">
        <v>0</v>
      </c>
      <c r="I342" s="607">
        <v>0</v>
      </c>
      <c r="J342" s="607">
        <v>0</v>
      </c>
      <c r="K342" s="607">
        <v>0</v>
      </c>
      <c r="L342" s="607">
        <v>0</v>
      </c>
      <c r="M342" s="607">
        <v>0</v>
      </c>
      <c r="N342" s="607">
        <v>0</v>
      </c>
      <c r="O342" s="607">
        <v>0</v>
      </c>
      <c r="P342" s="607">
        <v>0</v>
      </c>
      <c r="Q342" s="607">
        <v>0</v>
      </c>
      <c r="R342" s="605">
        <v>0</v>
      </c>
      <c r="S342" s="605">
        <v>0</v>
      </c>
      <c r="T342" s="608">
        <f t="shared" ref="T342" si="30">+SUM(G342:S342)/13</f>
        <v>0</v>
      </c>
    </row>
    <row r="343" spans="1:20">
      <c r="A343" s="89">
        <f>+A342+1</f>
        <v>147</v>
      </c>
      <c r="B343" s="71" t="s">
        <v>689</v>
      </c>
      <c r="C343" s="90"/>
      <c r="E343" s="90">
        <v>336</v>
      </c>
      <c r="F343" s="490"/>
      <c r="G343" s="92"/>
      <c r="H343" s="91"/>
      <c r="I343" s="91"/>
      <c r="J343" s="91"/>
      <c r="K343" s="91"/>
      <c r="L343" s="91"/>
      <c r="M343" s="91"/>
      <c r="N343" s="91"/>
      <c r="O343" s="91"/>
      <c r="P343" s="91"/>
      <c r="Q343" s="91"/>
      <c r="R343" s="41"/>
      <c r="S343" s="41"/>
      <c r="T343" s="610">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73"/>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4">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T161:U161"/>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Application xmlns="http://www.sap.com/cof/excel/application">
  <Version>2</Version>
  <Revision>2.7.001.82873</Revision>
</Application>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2.xml><?xml version="1.0" encoding="utf-8"?>
<ds:datastoreItem xmlns:ds="http://schemas.openxmlformats.org/officeDocument/2006/customXml" ds:itemID="{1B0B8641-DBD3-4544-8D96-45B8AD3AF0B1}">
  <ds:schemaRefs>
    <ds:schemaRef ds:uri="http://www.sap.com/cof/excel/application"/>
  </ds:schemaRefs>
</ds:datastoreItem>
</file>

<file path=customXml/itemProps3.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3713047D-163F-4C68-BAE8-60F7A6907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Paul Dumais</cp:lastModifiedBy>
  <dcterms:created xsi:type="dcterms:W3CDTF">2022-06-15T04:44:48Z</dcterms:created>
  <dcterms:modified xsi:type="dcterms:W3CDTF">2023-11-15T20:59:11Z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