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S:\Bill Calculators\Bill Calculator Guides\April 1, 2024\"/>
    </mc:Choice>
  </mc:AlternateContent>
  <xr:revisionPtr revIDLastSave="0" documentId="13_ncr:1_{160397D2-33B1-4AC8-A211-9EFB379F8CD2}" xr6:coauthVersionLast="47" xr6:coauthVersionMax="47" xr10:uidLastSave="{00000000-0000-0000-0000-000000000000}"/>
  <bookViews>
    <workbookView xWindow="-108" yWindow="-108" windowWidth="23256" windowHeight="12456" xr2:uid="{00000000-000D-0000-FFFF-FFFF00000000}"/>
  </bookViews>
  <sheets>
    <sheet name="137" sheetId="1" r:id="rId1"/>
    <sheet name="137 - Net Metering" sheetId="2" r:id="rId2"/>
  </sheets>
  <definedNames>
    <definedName name="_xlnm.Print_Area" localSheetId="0">'137'!$A$1:$D$107</definedName>
    <definedName name="_xlnm.Print_Area" localSheetId="1">'137 - Net Metering'!$A$1:$D$110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2" l="1"/>
  <c r="C53" i="2"/>
  <c r="C43" i="2"/>
  <c r="C40" i="2"/>
  <c r="C78" i="2"/>
  <c r="C86" i="2"/>
  <c r="C60" i="2" l="1"/>
  <c r="D49" i="2"/>
  <c r="D46" i="2"/>
  <c r="D36" i="2"/>
  <c r="D30" i="2"/>
  <c r="D105" i="2" s="1"/>
  <c r="D77" i="2" l="1"/>
  <c r="D65" i="2"/>
  <c r="D62" i="2"/>
  <c r="D33" i="2"/>
  <c r="D57" i="1"/>
  <c r="D60" i="1"/>
  <c r="D26" i="1"/>
  <c r="D75" i="1"/>
  <c r="B21" i="2"/>
  <c r="B19" i="2"/>
  <c r="D45" i="1"/>
  <c r="D32" i="1"/>
  <c r="D35" i="1"/>
  <c r="D39" i="1"/>
  <c r="D42" i="1"/>
  <c r="D49" i="1"/>
  <c r="B15" i="1"/>
  <c r="D89" i="1"/>
  <c r="D29" i="1"/>
  <c r="D72" i="1"/>
  <c r="D23" i="1"/>
  <c r="D63" i="1" s="1"/>
  <c r="D80" i="2" l="1"/>
  <c r="D54" i="2"/>
  <c r="D39" i="2"/>
  <c r="D42" i="2"/>
  <c r="D52" i="2"/>
  <c r="D93" i="2"/>
  <c r="D99" i="2" s="1"/>
  <c r="D110" i="2" s="1"/>
  <c r="D95" i="1"/>
  <c r="D59" i="2"/>
  <c r="D68" i="2"/>
  <c r="D85" i="2"/>
  <c r="D54" i="1"/>
  <c r="D102" i="1"/>
  <c r="D80" i="1"/>
  <c r="D83" i="1" l="1"/>
  <c r="D103" i="1" s="1"/>
  <c r="D26" i="2"/>
  <c r="D107" i="1"/>
  <c r="D19" i="1"/>
  <c r="D88" i="2"/>
  <c r="D106" i="2" s="1"/>
  <c r="D90" i="2" l="1"/>
  <c r="D100" i="2" s="1"/>
  <c r="D85" i="1"/>
  <c r="D104" i="1" s="1"/>
  <c r="D107" i="2" l="1"/>
  <c r="D24" i="2"/>
  <c r="D97" i="1"/>
  <c r="D17" i="1" s="1"/>
</calcChain>
</file>

<file path=xl/sharedStrings.xml><?xml version="1.0" encoding="utf-8"?>
<sst xmlns="http://schemas.openxmlformats.org/spreadsheetml/2006/main" count="143" uniqueCount="63">
  <si>
    <t>You will need:</t>
  </si>
  <si>
    <t xml:space="preserve">A flat fee per billing period of </t>
  </si>
  <si>
    <t>Multiply the Billed kWh by</t>
  </si>
  <si>
    <t xml:space="preserve">0 – 2,000 kWh multiply by </t>
  </si>
  <si>
    <t xml:space="preserve">2,001 – 15,000 kWh multiply by </t>
  </si>
  <si>
    <t xml:space="preserve">over 15,000 kWh multiply by </t>
  </si>
  <si>
    <t>kW (Demand):</t>
  </si>
  <si>
    <t>Customer Charge</t>
  </si>
  <si>
    <t>Non-Residential (Rate 137, 157)</t>
  </si>
  <si>
    <t>For Rate 137 or Rate 157, you will need to find the total electric usage for the month and the billing demand. For customers on Rate 157, you will need to adjust your kWh less 1%.</t>
  </si>
  <si>
    <t>Multiply the Adjusted Demand by</t>
  </si>
  <si>
    <t xml:space="preserve">Customer Charge (D19):  </t>
  </si>
  <si>
    <t xml:space="preserve">0 – 1,500 kWh multiply by </t>
  </si>
  <si>
    <t xml:space="preserve">1,501 – 125,000 kWh multiply by </t>
  </si>
  <si>
    <t xml:space="preserve">All kWh over 125,000 multiply by </t>
  </si>
  <si>
    <t>Adjusted Demand</t>
  </si>
  <si>
    <t xml:space="preserve">All kWh over 1,500 multiply by </t>
  </si>
  <si>
    <t xml:space="preserve">Other Delivery Charges: </t>
  </si>
  <si>
    <t>Other Delivery Charges</t>
  </si>
  <si>
    <t>Supply Charges:</t>
  </si>
  <si>
    <t xml:space="preserve">Total Bill: </t>
  </si>
  <si>
    <t xml:space="preserve">Supply Total: </t>
  </si>
  <si>
    <t>Total Bill</t>
  </si>
  <si>
    <t>Price - To - Compare</t>
  </si>
  <si>
    <t>Input usage below</t>
  </si>
  <si>
    <t xml:space="preserve">    Demand Charge (D19):</t>
  </si>
  <si>
    <t xml:space="preserve">    Universal Service Rider (D28):</t>
  </si>
  <si>
    <t xml:space="preserve">    Energy Efficiency Rider (D38):</t>
  </si>
  <si>
    <t xml:space="preserve">    Economic Development Rider (D39):</t>
  </si>
  <si>
    <t xml:space="preserve">    Excise Tax (D33):</t>
  </si>
  <si>
    <t xml:space="preserve">    Transmission Cost Recovery Rider - Non-bypassable (T8):</t>
  </si>
  <si>
    <t xml:space="preserve">    Standard Offer Rate (G10):</t>
  </si>
  <si>
    <t>Other Delivery Charges Total:</t>
  </si>
  <si>
    <t xml:space="preserve">% of Base Distribution </t>
  </si>
  <si>
    <t xml:space="preserve">     Storm Cost Recovery Rider (D30):</t>
  </si>
  <si>
    <t>Multiply the kW Demand by</t>
  </si>
  <si>
    <t>Non-Residential (Rate 137, 157) - Net Metering</t>
  </si>
  <si>
    <t xml:space="preserve">kWh Actual:    </t>
  </si>
  <si>
    <t>kWh Received:</t>
  </si>
  <si>
    <t>kWh Net:</t>
  </si>
  <si>
    <t xml:space="preserve">As a Net Metering customer you will enter Actual and Received kWh located on your bill in addition to your kW demand.  For customers on Rate 157, you will need to adjust your Actual kWh less 1% and adjust your Received kWh by adding 1%.  Example: Actual usage 5000 X 99%=4950, Received usage 2000 kWh X101% =2020 </t>
  </si>
  <si>
    <t>Multiply the Billed kWh 0-833,000 by</t>
  </si>
  <si>
    <t>Multiply the Billed kWh &gt; 833,000 by</t>
  </si>
  <si>
    <t xml:space="preserve">    Tax Credit Savings Rider (D41):</t>
  </si>
  <si>
    <t xml:space="preserve">    Legacy Generation Rider (D40):</t>
  </si>
  <si>
    <t>How to Calculate Your AES Ohio Bill</t>
  </si>
  <si>
    <t>To verify you are on Rate 137 or Rate 157 - find the section near the middle of your AES Ohio bill labeled “Usage Detail", below which the column titled "Rate"  should read 137 or 157.</t>
  </si>
  <si>
    <t>Your monthly kWh Usage and billing demand is to the left of your Rate number on your AES Ohio bill. See example below.</t>
  </si>
  <si>
    <t>To verify that your bill is within a 25 to 35 day billing cycle cycle (also on your AES Ohio bill) - under "Usage Detail" find the column titled "Billing Days".  NOTE:  this rate worksheet will not correctly calculate bills outside of the 25 to 35 day billing cycle. Net Metering customers see second tab for rates.</t>
  </si>
  <si>
    <t xml:space="preserve">AES Ohio Delivery Charges: </t>
  </si>
  <si>
    <t xml:space="preserve">AES Ohio Delivery Total: </t>
  </si>
  <si>
    <t>How charges appear on AES Ohio's bill</t>
  </si>
  <si>
    <t>AES Ohio Delivery Total:</t>
  </si>
  <si>
    <t>To verify that your bill is within a 25 to 35 day billing cycle cycle (also on your AES Ohio bill) - under "Usage Detail" find the column titled "Billing Days".  NOTE:  this rate worksheet will not correctly calculate bills outside of the 25 to 35 day billing cycle.</t>
  </si>
  <si>
    <t xml:space="preserve">    Solar Generation Fund Rider (D27):</t>
  </si>
  <si>
    <t xml:space="preserve">    Infrastructure Investment Rider (D29):</t>
  </si>
  <si>
    <t xml:space="preserve">    Regulatory Compliance Rider  (D31):</t>
  </si>
  <si>
    <t xml:space="preserve">    Proactive Reliability Optimization Rider  (D32):</t>
  </si>
  <si>
    <t xml:space="preserve">    Customer Programs Rider (D37):</t>
  </si>
  <si>
    <t xml:space="preserve">    Distribution Investment Rider (D36):</t>
  </si>
  <si>
    <t xml:space="preserve">    Reseved for future use</t>
  </si>
  <si>
    <t xml:space="preserve">    Reserved for future use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</si>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</sst>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0.0000000"/>
    <numFmt numFmtId="166" formatCode="_(&quot;$&quot;* #,##0.0000000_);_(&quot;$&quot;* \(#,##0.0000000\);_(&quot;$&quot;* &quot;-&quot;??_);_(@_)"/>
    <numFmt numFmtId="167" formatCode="_(* #,##0.0_);_(* \(#,##0.0\);_(* &quot;-&quot;??_);_(@_)"/>
    <numFmt numFmtId="168" formatCode="_(&quot;$&quot;* #,##0.000_);_(&quot;$&quot;* \(#,##0.000\);_(&quot;$&quot;* &quot;-&quot;??_);_(@_)"/>
    <numFmt numFmtId="169" formatCode="#,##0.0;[Red]#,##0.0"/>
    <numFmt numFmtId="170" formatCode="#,##0;[Red]#,##0"/>
    <numFmt numFmtId="171" formatCode="0.00000%"/>
    <numFmt numFmtId="172" formatCode="0.0000%"/>
  </numFmts>
  <fonts count="15" x14ac:knownFonts="1">
    <font>
      <sz val="11"/>
      <color theme="1"/>
      <name val="Calibri"/>
      <family val="2"/>
      <scheme val="minor"/>
    </font>
    <font>
      <sz val="10"/>
      <name val="Arial"/>
      <family val="2"/>
    </font>
    <font>
      <sz val="10"/>
      <name val="Arial"/>
      <family val="2"/>
    </font>
    <font>
      <sz val="12"/>
      <name val="Arial"/>
      <family val="2"/>
    </font>
    <font>
      <b/>
      <sz val="12"/>
      <name val="Arial"/>
      <family val="2"/>
    </font>
    <font>
      <sz val="11"/>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2"/>
      <color theme="1"/>
      <name val="Arial"/>
      <family val="2"/>
    </font>
    <font>
      <sz val="12"/>
      <color theme="4"/>
      <name val="Arial"/>
      <family val="2"/>
    </font>
    <font>
      <b/>
      <sz val="12"/>
      <color theme="0"/>
      <name val="Arial"/>
      <family val="2"/>
    </font>
    <font>
      <b/>
      <sz val="14"/>
      <color rgb="FF0054A4"/>
      <name val="Arial"/>
      <family val="2"/>
    </font>
    <font>
      <b/>
      <sz val="16"/>
      <color rgb="FF0054A4"/>
      <name val="Arial"/>
      <family val="2"/>
    </font>
    <font>
      <sz val="12"/>
      <color rgb="FFFF0000"/>
      <name val="Arial"/>
      <family val="2"/>
    </font>
  </fonts>
  <fills count="5">
    <fill>
      <patternFill patternType="none"/>
    </fill>
    <fill>
      <patternFill patternType="gray125"/>
    </fill>
    <fill>
      <patternFill patternType="solid">
        <fgColor rgb="FFFFFF00"/>
        <bgColor indexed="64"/>
      </patternFill>
    </fill>
    <fill>
      <patternFill patternType="solid">
        <fgColor rgb="FF61973E"/>
        <bgColor indexed="64"/>
      </patternFill>
    </fill>
    <fill>
      <patternFill patternType="solid">
        <fgColor rgb="FF0054A4"/>
        <bgColor indexed="64"/>
      </patternFill>
    </fill>
  </fills>
  <borders count="39">
    <border>
      <left/>
      <right/>
      <top/>
      <bottom/>
      <diagonal/>
    </border>
    <border>
      <left/>
      <right/>
      <top style="thick">
        <color indexed="64"/>
      </top>
      <bottom/>
      <diagonal/>
    </border>
    <border>
      <left style="thick">
        <color indexed="64"/>
      </left>
      <right/>
      <top/>
      <bottom/>
      <diagonal/>
    </border>
    <border>
      <left/>
      <right style="thick">
        <color indexed="64"/>
      </right>
      <top/>
      <bottom style="thick">
        <color indexed="64"/>
      </bottom>
      <diagonal/>
    </border>
    <border>
      <left style="medium">
        <color indexed="64"/>
      </left>
      <right/>
      <top/>
      <bottom/>
      <diagonal/>
    </border>
    <border>
      <left/>
      <right style="medium">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9"/>
      </left>
      <right style="medium">
        <color theme="9"/>
      </right>
      <top style="medium">
        <color theme="9"/>
      </top>
      <bottom/>
      <diagonal/>
    </border>
    <border>
      <left style="medium">
        <color theme="9"/>
      </left>
      <right style="medium">
        <color theme="9"/>
      </right>
      <top style="medium">
        <color theme="9"/>
      </top>
      <bottom style="medium">
        <color theme="9"/>
      </bottom>
      <diagonal/>
    </border>
    <border>
      <left style="medium">
        <color theme="9"/>
      </left>
      <right style="medium">
        <color theme="9"/>
      </right>
      <top/>
      <bottom style="medium">
        <color theme="9"/>
      </bottom>
      <diagonal/>
    </border>
    <border>
      <left/>
      <right/>
      <top style="thick">
        <color rgb="FF61973E"/>
      </top>
      <bottom/>
      <diagonal/>
    </border>
    <border>
      <left style="thick">
        <color rgb="FF61973E"/>
      </left>
      <right/>
      <top/>
      <bottom/>
      <diagonal/>
    </border>
    <border>
      <left style="thick">
        <color rgb="FF61973E"/>
      </left>
      <right/>
      <top/>
      <bottom style="thick">
        <color rgb="FF61973E"/>
      </bottom>
      <diagonal/>
    </border>
    <border>
      <left/>
      <right/>
      <top/>
      <bottom style="thick">
        <color rgb="FF61973E"/>
      </bottom>
      <diagonal/>
    </border>
    <border>
      <left style="thick">
        <color indexed="64"/>
      </left>
      <right/>
      <top style="thick">
        <color rgb="FF61973E"/>
      </top>
      <bottom/>
      <diagonal/>
    </border>
    <border>
      <left style="thick">
        <color rgb="FF0054A4"/>
      </left>
      <right/>
      <top style="thick">
        <color rgb="FF0054A4"/>
      </top>
      <bottom/>
      <diagonal/>
    </border>
    <border>
      <left/>
      <right/>
      <top style="thick">
        <color rgb="FF0054A4"/>
      </top>
      <bottom/>
      <diagonal/>
    </border>
    <border>
      <left style="thick">
        <color rgb="FF0054A4"/>
      </left>
      <right/>
      <top/>
      <bottom/>
      <diagonal/>
    </border>
    <border>
      <left style="thick">
        <color rgb="FF0054A4"/>
      </left>
      <right/>
      <top/>
      <bottom style="thick">
        <color rgb="FF0054A4"/>
      </bottom>
      <diagonal/>
    </border>
    <border>
      <left/>
      <right/>
      <top/>
      <bottom style="thick">
        <color rgb="FF0054A4"/>
      </bottom>
      <diagonal/>
    </border>
    <border>
      <left/>
      <right style="thick">
        <color rgb="FF61973E"/>
      </right>
      <top style="thick">
        <color rgb="FF61973E"/>
      </top>
      <bottom/>
      <diagonal/>
    </border>
    <border>
      <left/>
      <right style="thick">
        <color rgb="FF61973E"/>
      </right>
      <top/>
      <bottom/>
      <diagonal/>
    </border>
    <border>
      <left/>
      <right style="thick">
        <color rgb="FF61973E"/>
      </right>
      <top/>
      <bottom style="thick">
        <color rgb="FF61973E"/>
      </bottom>
      <diagonal/>
    </border>
    <border>
      <left/>
      <right style="thick">
        <color indexed="64"/>
      </right>
      <top style="thick">
        <color rgb="FF61973E"/>
      </top>
      <bottom/>
      <diagonal/>
    </border>
    <border>
      <left/>
      <right style="thick">
        <color rgb="FF0054A4"/>
      </right>
      <top style="thick">
        <color rgb="FF0054A4"/>
      </top>
      <bottom/>
      <diagonal/>
    </border>
    <border>
      <left/>
      <right style="thick">
        <color rgb="FF0054A4"/>
      </right>
      <top/>
      <bottom/>
      <diagonal/>
    </border>
    <border>
      <left/>
      <right style="thick">
        <color rgb="FF0054A4"/>
      </right>
      <top/>
      <bottom style="thick">
        <color rgb="FF0054A4"/>
      </bottom>
      <diagonal/>
    </border>
    <border>
      <left style="thick">
        <color rgb="FF61973E"/>
      </left>
      <right/>
      <top style="thick">
        <color rgb="FF61973E"/>
      </top>
      <bottom/>
      <diagonal/>
    </border>
    <border>
      <left style="thick">
        <color rgb="FF0054A4"/>
      </left>
      <right/>
      <top style="thick">
        <color rgb="FF0054A4"/>
      </top>
      <bottom style="thick">
        <color rgb="FF0054A4"/>
      </bottom>
      <diagonal/>
    </border>
    <border>
      <left/>
      <right/>
      <top style="thick">
        <color rgb="FF0054A4"/>
      </top>
      <bottom style="thick">
        <color rgb="FF0054A4"/>
      </bottom>
      <diagonal/>
    </border>
    <border>
      <left/>
      <right style="thick">
        <color rgb="FF0054A4"/>
      </right>
      <top style="thick">
        <color rgb="FF0054A4"/>
      </top>
      <bottom style="thick">
        <color rgb="FF0054A4"/>
      </bottom>
      <diagonal/>
    </border>
    <border>
      <left/>
      <right style="thick">
        <color rgb="FF61973E"/>
      </right>
      <top style="medium">
        <color rgb="FF61973E"/>
      </top>
      <bottom/>
      <diagonal/>
    </border>
  </borders>
  <cellStyleXfs count="11">
    <xf numFmtId="0" fontId="0" fillId="0" borderId="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6" fillId="0" borderId="0" xfId="0" applyFont="1" applyAlignment="1">
      <alignment horizontal="center"/>
    </xf>
    <xf numFmtId="0" fontId="7" fillId="0" borderId="0" xfId="0" applyFont="1"/>
    <xf numFmtId="0" fontId="8" fillId="0" borderId="0" xfId="0" applyFont="1"/>
    <xf numFmtId="0" fontId="7" fillId="0" borderId="0" xfId="0" applyFont="1" applyAlignment="1">
      <alignment horizontal="left" indent="2"/>
    </xf>
    <xf numFmtId="0" fontId="8" fillId="0" borderId="0" xfId="0" applyFont="1" applyAlignment="1">
      <alignment horizontal="left" wrapText="1"/>
    </xf>
    <xf numFmtId="0" fontId="8" fillId="0" borderId="0" xfId="0" applyFont="1" applyAlignment="1">
      <alignment horizontal="left" wrapText="1" shrinkToFit="1"/>
    </xf>
    <xf numFmtId="0" fontId="9" fillId="0" borderId="0" xfId="0" applyFont="1" applyAlignment="1">
      <alignment horizontal="center" wrapText="1" shrinkToFit="1"/>
    </xf>
    <xf numFmtId="170" fontId="3" fillId="0" borderId="14" xfId="1" applyNumberFormat="1" applyFont="1" applyBorder="1" applyProtection="1">
      <protection locked="0"/>
    </xf>
    <xf numFmtId="169" fontId="3" fillId="0" borderId="15" xfId="1" applyNumberFormat="1" applyFont="1" applyBorder="1" applyProtection="1">
      <protection locked="0"/>
    </xf>
    <xf numFmtId="169" fontId="3" fillId="0" borderId="16" xfId="1" applyNumberFormat="1" applyFont="1" applyBorder="1" applyProtection="1"/>
    <xf numFmtId="0" fontId="6" fillId="0" borderId="0" xfId="0" applyFont="1"/>
    <xf numFmtId="167" fontId="10" fillId="0" borderId="0" xfId="1" applyNumberFormat="1" applyFont="1"/>
    <xf numFmtId="167" fontId="4" fillId="2" borderId="0" xfId="1" applyNumberFormat="1" applyFont="1" applyFill="1"/>
    <xf numFmtId="0" fontId="8" fillId="2" borderId="0" xfId="0" applyFont="1" applyFill="1"/>
    <xf numFmtId="167" fontId="4" fillId="0" borderId="0" xfId="1" applyNumberFormat="1" applyFont="1"/>
    <xf numFmtId="0" fontId="8" fillId="0" borderId="1" xfId="0" applyFont="1" applyBorder="1"/>
    <xf numFmtId="44" fontId="8" fillId="0" borderId="0" xfId="4" applyFont="1" applyFill="1" applyBorder="1"/>
    <xf numFmtId="165" fontId="8" fillId="0" borderId="0" xfId="0" applyNumberFormat="1" applyFont="1"/>
    <xf numFmtId="166" fontId="8" fillId="0" borderId="0" xfId="0" applyNumberFormat="1" applyFont="1"/>
    <xf numFmtId="166" fontId="8" fillId="0" borderId="0" xfId="4" applyNumberFormat="1" applyFont="1" applyFill="1" applyBorder="1"/>
    <xf numFmtId="0" fontId="9" fillId="0" borderId="0" xfId="0" applyFont="1"/>
    <xf numFmtId="0" fontId="6" fillId="0" borderId="0" xfId="0" applyFont="1" applyAlignment="1">
      <alignment horizontal="left" indent="5"/>
    </xf>
    <xf numFmtId="0" fontId="9" fillId="3" borderId="0" xfId="0" applyFont="1" applyFill="1"/>
    <xf numFmtId="0" fontId="8" fillId="3" borderId="0" xfId="0" applyFont="1" applyFill="1"/>
    <xf numFmtId="0" fontId="8" fillId="0" borderId="17" xfId="0" applyFont="1" applyBorder="1"/>
    <xf numFmtId="0" fontId="8" fillId="0" borderId="18" xfId="0" applyFont="1" applyBorder="1"/>
    <xf numFmtId="0" fontId="9" fillId="0" borderId="18" xfId="0" applyFont="1" applyBorder="1"/>
    <xf numFmtId="0" fontId="9" fillId="0" borderId="19" xfId="0" applyFont="1" applyBorder="1"/>
    <xf numFmtId="0" fontId="9" fillId="0" borderId="20" xfId="0" applyFont="1" applyBorder="1"/>
    <xf numFmtId="0" fontId="8" fillId="0" borderId="20" xfId="0" applyFont="1" applyBorder="1"/>
    <xf numFmtId="0" fontId="9" fillId="0" borderId="21" xfId="0" applyFont="1" applyBorder="1"/>
    <xf numFmtId="0" fontId="9" fillId="0" borderId="2" xfId="0" applyFont="1" applyBorder="1"/>
    <xf numFmtId="0" fontId="8" fillId="0" borderId="22" xfId="0" applyFont="1" applyBorder="1"/>
    <xf numFmtId="0" fontId="8" fillId="0" borderId="23" xfId="0" applyFont="1" applyBorder="1"/>
    <xf numFmtId="0" fontId="9" fillId="0" borderId="24" xfId="0" applyFont="1" applyBorder="1"/>
    <xf numFmtId="0" fontId="9" fillId="0" borderId="0" xfId="0" applyFont="1" applyAlignment="1">
      <alignment horizontal="left"/>
    </xf>
    <xf numFmtId="0" fontId="8" fillId="0" borderId="24" xfId="0" applyFont="1" applyBorder="1" applyAlignment="1">
      <alignment horizontal="left" indent="5"/>
    </xf>
    <xf numFmtId="0" fontId="9" fillId="0" borderId="24" xfId="0" applyFont="1" applyBorder="1" applyAlignment="1">
      <alignment horizontal="left" indent="5"/>
    </xf>
    <xf numFmtId="0" fontId="9" fillId="0" borderId="24" xfId="0" applyFont="1" applyBorder="1" applyAlignment="1">
      <alignment horizontal="left"/>
    </xf>
    <xf numFmtId="0" fontId="9" fillId="0" borderId="25" xfId="0" applyFont="1" applyBorder="1" applyAlignment="1">
      <alignment horizontal="left" indent="5"/>
    </xf>
    <xf numFmtId="0" fontId="8" fillId="0" borderId="26" xfId="0" applyFont="1" applyBorder="1"/>
    <xf numFmtId="0" fontId="8" fillId="0" borderId="0" xfId="0" applyFont="1" applyAlignment="1">
      <alignment wrapText="1"/>
    </xf>
    <xf numFmtId="0" fontId="8" fillId="0" borderId="0" xfId="0" applyFont="1" applyAlignment="1">
      <alignment wrapText="1" shrinkToFit="1"/>
    </xf>
    <xf numFmtId="44" fontId="4" fillId="2" borderId="0" xfId="0" applyNumberFormat="1" applyFont="1" applyFill="1"/>
    <xf numFmtId="0" fontId="4" fillId="0" borderId="0" xfId="0" applyFont="1"/>
    <xf numFmtId="168" fontId="9" fillId="2" borderId="0" xfId="0" applyNumberFormat="1" applyFont="1" applyFill="1"/>
    <xf numFmtId="44" fontId="8" fillId="0" borderId="0" xfId="4" applyFont="1" applyAlignment="1"/>
    <xf numFmtId="44" fontId="8" fillId="3" borderId="0" xfId="4" applyFont="1" applyFill="1" applyAlignment="1"/>
    <xf numFmtId="44" fontId="8" fillId="0" borderId="27" xfId="4" applyFont="1" applyBorder="1" applyAlignment="1"/>
    <xf numFmtId="44" fontId="8" fillId="0" borderId="28" xfId="4" applyFont="1" applyBorder="1" applyAlignment="1"/>
    <xf numFmtId="44" fontId="9" fillId="0" borderId="29" xfId="4" applyFont="1" applyBorder="1" applyAlignment="1"/>
    <xf numFmtId="44" fontId="8" fillId="0" borderId="30" xfId="4" applyFont="1" applyBorder="1" applyAlignment="1"/>
    <xf numFmtId="44" fontId="9" fillId="0" borderId="3" xfId="4" applyFont="1" applyBorder="1" applyAlignment="1"/>
    <xf numFmtId="0" fontId="8" fillId="0" borderId="31" xfId="0" applyFont="1" applyBorder="1"/>
    <xf numFmtId="0" fontId="8" fillId="0" borderId="32" xfId="0" applyFont="1" applyBorder="1"/>
    <xf numFmtId="44" fontId="8" fillId="0" borderId="32" xfId="4" applyFont="1" applyFill="1" applyBorder="1" applyAlignment="1"/>
    <xf numFmtId="44" fontId="9" fillId="0" borderId="32" xfId="4" applyFont="1" applyFill="1" applyBorder="1" applyAlignment="1"/>
    <xf numFmtId="44" fontId="9" fillId="0" borderId="33" xfId="0" applyNumberFormat="1" applyFont="1" applyBorder="1"/>
    <xf numFmtId="0" fontId="11" fillId="3" borderId="0" xfId="0" applyFont="1" applyFill="1" applyAlignment="1">
      <alignment horizontal="left"/>
    </xf>
    <xf numFmtId="0" fontId="8" fillId="0" borderId="34" xfId="0" applyFont="1" applyBorder="1" applyAlignment="1">
      <alignment horizontal="left"/>
    </xf>
    <xf numFmtId="171" fontId="8" fillId="0" borderId="0" xfId="8" applyNumberFormat="1" applyFont="1" applyFill="1" applyBorder="1"/>
    <xf numFmtId="0" fontId="12" fillId="0" borderId="0" xfId="0" applyFont="1" applyAlignment="1">
      <alignment horizontal="center"/>
    </xf>
    <xf numFmtId="0" fontId="8" fillId="0" borderId="4" xfId="0" applyFont="1" applyBorder="1"/>
    <xf numFmtId="164" fontId="8" fillId="0" borderId="5" xfId="0" applyNumberFormat="1" applyFont="1" applyBorder="1"/>
    <xf numFmtId="44" fontId="8" fillId="0" borderId="5" xfId="4" applyFont="1" applyFill="1" applyBorder="1"/>
    <xf numFmtId="0" fontId="9" fillId="0" borderId="4" xfId="0" applyFont="1" applyBorder="1"/>
    <xf numFmtId="0" fontId="9" fillId="0" borderId="6" xfId="0" applyFont="1" applyBorder="1"/>
    <xf numFmtId="0" fontId="9" fillId="0" borderId="1" xfId="0" applyFont="1" applyBorder="1"/>
    <xf numFmtId="0" fontId="8" fillId="0" borderId="7" xfId="0" applyFont="1" applyBorder="1"/>
    <xf numFmtId="0" fontId="9" fillId="0" borderId="8" xfId="0" applyFont="1" applyBorder="1" applyAlignment="1">
      <alignment horizontal="left"/>
    </xf>
    <xf numFmtId="0" fontId="8" fillId="0" borderId="9" xfId="0" applyFont="1" applyBorder="1"/>
    <xf numFmtId="44" fontId="8" fillId="0" borderId="10" xfId="4" applyFont="1" applyFill="1" applyBorder="1" applyAlignment="1"/>
    <xf numFmtId="0" fontId="8" fillId="0" borderId="4" xfId="0" applyFont="1" applyBorder="1" applyAlignment="1">
      <alignment horizontal="left"/>
    </xf>
    <xf numFmtId="0" fontId="9" fillId="0" borderId="4" xfId="0" applyFont="1" applyBorder="1" applyAlignment="1">
      <alignment horizontal="left"/>
    </xf>
    <xf numFmtId="44" fontId="8" fillId="0" borderId="5" xfId="4" applyFont="1" applyBorder="1" applyAlignment="1"/>
    <xf numFmtId="44" fontId="8" fillId="0" borderId="5" xfId="0" applyNumberFormat="1" applyFont="1" applyBorder="1"/>
    <xf numFmtId="0" fontId="3" fillId="0" borderId="0" xfId="0" applyFont="1"/>
    <xf numFmtId="0" fontId="9" fillId="0" borderId="11" xfId="0" applyFont="1" applyBorder="1" applyAlignment="1">
      <alignment horizontal="left"/>
    </xf>
    <xf numFmtId="0" fontId="9" fillId="0" borderId="12" xfId="0" applyFont="1" applyBorder="1"/>
    <xf numFmtId="0" fontId="8" fillId="0" borderId="12" xfId="0" applyFont="1" applyBorder="1"/>
    <xf numFmtId="44" fontId="9" fillId="0" borderId="13" xfId="4" applyFont="1" applyBorder="1" applyAlignment="1"/>
    <xf numFmtId="0" fontId="8" fillId="0" borderId="0" xfId="0" applyFont="1" applyAlignment="1">
      <alignment horizontal="left"/>
    </xf>
    <xf numFmtId="170" fontId="3" fillId="0" borderId="15" xfId="1" applyNumberFormat="1" applyFont="1" applyBorder="1" applyProtection="1"/>
    <xf numFmtId="164" fontId="9" fillId="0" borderId="5" xfId="4" applyNumberFormat="1" applyFont="1" applyBorder="1" applyAlignment="1"/>
    <xf numFmtId="44" fontId="8" fillId="0" borderId="0" xfId="0" applyNumberFormat="1" applyFont="1"/>
    <xf numFmtId="164" fontId="8" fillId="0" borderId="0" xfId="8" applyNumberFormat="1" applyFont="1" applyFill="1" applyBorder="1"/>
    <xf numFmtId="172" fontId="8" fillId="0" borderId="0" xfId="8" applyNumberFormat="1" applyFont="1" applyFill="1" applyBorder="1"/>
    <xf numFmtId="44" fontId="8" fillId="0" borderId="5" xfId="4" applyFont="1" applyBorder="1"/>
    <xf numFmtId="10" fontId="8" fillId="0" borderId="0" xfId="8" applyNumberFormat="1" applyFont="1" applyFill="1" applyBorder="1"/>
    <xf numFmtId="164" fontId="9" fillId="0" borderId="13" xfId="4" applyNumberFormat="1" applyFont="1" applyBorder="1" applyAlignment="1"/>
    <xf numFmtId="44" fontId="8" fillId="0" borderId="38" xfId="4" applyFont="1" applyBorder="1"/>
    <xf numFmtId="0" fontId="9" fillId="0" borderId="0" xfId="0" applyFont="1" applyAlignment="1">
      <alignment horizontal="right"/>
    </xf>
    <xf numFmtId="0" fontId="11" fillId="4" borderId="35" xfId="0" applyFont="1" applyFill="1" applyBorder="1" applyAlignment="1">
      <alignment horizontal="center"/>
    </xf>
    <xf numFmtId="0" fontId="11" fillId="4" borderId="36" xfId="0" applyFont="1" applyFill="1" applyBorder="1" applyAlignment="1">
      <alignment horizontal="center"/>
    </xf>
    <xf numFmtId="0" fontId="11" fillId="4" borderId="37" xfId="0" applyFont="1" applyFill="1" applyBorder="1" applyAlignment="1">
      <alignment horizontal="center"/>
    </xf>
    <xf numFmtId="0" fontId="13" fillId="0" borderId="0" xfId="0" applyFont="1" applyAlignment="1">
      <alignment horizontal="center"/>
    </xf>
    <xf numFmtId="0" fontId="8" fillId="0" borderId="0" xfId="0" applyFont="1" applyAlignment="1">
      <alignment horizontal="left" wrapText="1"/>
    </xf>
    <xf numFmtId="0" fontId="12" fillId="0" borderId="0" xfId="0" applyFont="1" applyAlignment="1">
      <alignment horizontal="center"/>
    </xf>
    <xf numFmtId="0" fontId="8" fillId="0" borderId="0" xfId="0" applyFont="1" applyAlignment="1">
      <alignment horizontal="left" vertical="top" wrapText="1"/>
    </xf>
    <xf numFmtId="0" fontId="8" fillId="0" borderId="0" xfId="0" applyFont="1" applyAlignment="1">
      <alignment horizontal="left" wrapText="1" shrinkToFit="1"/>
    </xf>
    <xf numFmtId="0" fontId="14" fillId="0" borderId="0" xfId="0" applyFont="1" applyAlignment="1">
      <alignment horizontal="left" vertical="top" wrapText="1"/>
    </xf>
  </cellXfs>
  <cellStyles count="11">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Currency 3" xfId="6" xr:uid="{00000000-0005-0000-0000-000005000000}"/>
    <cellStyle name="Normal" xfId="0" builtinId="0"/>
    <cellStyle name="Normal 2" xfId="7" xr:uid="{00000000-0005-0000-0000-000007000000}"/>
    <cellStyle name="Percent" xfId="8" builtinId="5"/>
    <cellStyle name="Percent 2" xfId="9" xr:uid="{00000000-0005-0000-0000-000009000000}"/>
    <cellStyle name="Percent 3" xfId="10" xr:uid="{00000000-0005-0000-0000-00000A000000}"/>
  </cellStyles>
  <dxfs count="16">
    <dxf>
      <font>
        <color rgb="FFFF0000"/>
      </font>
    </dxf>
    <dxf>
      <font>
        <color rgb="FFFF0000"/>
      </font>
    </dxf>
    <dxf>
      <font>
        <color rgb="FF9C0006"/>
      </font>
    </dxf>
    <dxf>
      <font>
        <color rgb="FFFF0000"/>
      </font>
      <fill>
        <patternFill patternType="none">
          <bgColor indexed="65"/>
        </patternFill>
      </fill>
    </dxf>
    <dxf>
      <font>
        <color rgb="FFFF0000"/>
      </font>
    </dxf>
    <dxf>
      <font>
        <color rgb="FF9C0006"/>
      </font>
    </dxf>
    <dxf>
      <font>
        <color rgb="FFFF0000"/>
      </font>
    </dxf>
    <dxf>
      <font>
        <color rgb="FFFF0000"/>
      </font>
      <fill>
        <patternFill patternType="none">
          <bgColor indexed="65"/>
        </patternFill>
      </fill>
    </dxf>
    <dxf>
      <font>
        <color rgb="FF9C0006"/>
      </font>
    </dxf>
    <dxf>
      <font>
        <color rgb="FF9C0006"/>
      </font>
    </dxf>
    <dxf>
      <font>
        <color rgb="FFFF0000"/>
      </font>
    </dxf>
    <dxf>
      <font>
        <color rgb="FFFF0000"/>
      </font>
    </dxf>
    <dxf>
      <font>
        <color rgb="FFFF0000"/>
      </font>
    </dxf>
    <dxf>
      <font>
        <color rgb="FFFF0000"/>
      </font>
      <fill>
        <patternFill patternType="none">
          <bgColor indexed="65"/>
        </patternFill>
      </fill>
    </dxf>
    <dxf>
      <font>
        <color rgb="FF9C0006"/>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4</xdr:col>
      <xdr:colOff>11112</xdr:colOff>
      <xdr:row>9</xdr:row>
      <xdr:rowOff>47625</xdr:rowOff>
    </xdr:to>
    <xdr:pic>
      <xdr:nvPicPr>
        <xdr:cNvPr id="1168" name="Picture 3">
          <a:extLst>
            <a:ext uri="{FF2B5EF4-FFF2-40B4-BE49-F238E27FC236}">
              <a16:creationId xmlns:a16="http://schemas.microsoft.com/office/drawing/2014/main" id="{DADD8D95-9CAE-9E31-9DF5-6F3CEEF70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0350"/>
          <a:ext cx="78994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262467</xdr:colOff>
      <xdr:row>8</xdr:row>
      <xdr:rowOff>0</xdr:rowOff>
    </xdr:from>
    <xdr:ext cx="2029964" cy="444162"/>
    <xdr:sp macro="" textlink="">
      <xdr:nvSpPr>
        <xdr:cNvPr id="3" name="TextBox 2">
          <a:extLst>
            <a:ext uri="{FF2B5EF4-FFF2-40B4-BE49-F238E27FC236}">
              <a16:creationId xmlns:a16="http://schemas.microsoft.com/office/drawing/2014/main" id="{BEF92FBD-7DBC-C17D-9E61-FB47B50F842F}"/>
            </a:ext>
          </a:extLst>
        </xdr:cNvPr>
        <xdr:cNvSpPr txBox="1"/>
      </xdr:nvSpPr>
      <xdr:spPr>
        <a:xfrm>
          <a:off x="5704417" y="2114550"/>
          <a:ext cx="1460500" cy="2571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b="1"/>
            <a:t>Secondary Three Phase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4</xdr:col>
      <xdr:colOff>9525</xdr:colOff>
      <xdr:row>12</xdr:row>
      <xdr:rowOff>171450</xdr:rowOff>
    </xdr:to>
    <xdr:pic>
      <xdr:nvPicPr>
        <xdr:cNvPr id="2168" name="Picture 3">
          <a:extLst>
            <a:ext uri="{FF2B5EF4-FFF2-40B4-BE49-F238E27FC236}">
              <a16:creationId xmlns:a16="http://schemas.microsoft.com/office/drawing/2014/main" id="{34705E0D-E8C5-A473-0C4C-C102D9B97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22500"/>
          <a:ext cx="7899400"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211667</xdr:colOff>
      <xdr:row>10</xdr:row>
      <xdr:rowOff>129117</xdr:rowOff>
    </xdr:from>
    <xdr:ext cx="2082314" cy="290132"/>
    <xdr:sp macro="" textlink="">
      <xdr:nvSpPr>
        <xdr:cNvPr id="3" name="TextBox 2">
          <a:extLst>
            <a:ext uri="{FF2B5EF4-FFF2-40B4-BE49-F238E27FC236}">
              <a16:creationId xmlns:a16="http://schemas.microsoft.com/office/drawing/2014/main" id="{463E661C-BE1D-DFB2-AEBE-66CE7912E334}"/>
            </a:ext>
          </a:extLst>
        </xdr:cNvPr>
        <xdr:cNvSpPr txBox="1"/>
      </xdr:nvSpPr>
      <xdr:spPr>
        <a:xfrm>
          <a:off x="6000750" y="2954867"/>
          <a:ext cx="2082314" cy="2901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b="1"/>
            <a:t>Secondary Three Phase</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0"/>
  <sheetViews>
    <sheetView showGridLines="0" showRowColHeaders="0" tabSelected="1" showRuler="0" view="pageLayout" topLeftCell="A47" zoomScale="80" zoomScaleNormal="80" zoomScaleSheetLayoutView="85" zoomScalePageLayoutView="80" workbookViewId="0">
      <selection activeCell="B13" sqref="B13"/>
    </sheetView>
  </sheetViews>
  <sheetFormatPr defaultColWidth="9.109375" defaultRowHeight="15.6" x14ac:dyDescent="0.3"/>
  <cols>
    <col min="1" max="1" width="36.109375" style="2" customWidth="1"/>
    <col min="2" max="2" width="44.5546875" style="2" customWidth="1"/>
    <col min="3" max="3" width="15.5546875" style="2" customWidth="1"/>
    <col min="4" max="4" width="16.88671875" style="2" customWidth="1"/>
    <col min="5" max="5" width="53" style="2" customWidth="1"/>
    <col min="6" max="6" width="53.6640625" style="2" bestFit="1" customWidth="1"/>
    <col min="7" max="16384" width="9.109375" style="2"/>
  </cols>
  <sheetData>
    <row r="1" spans="1:5" ht="21" x14ac:dyDescent="0.4">
      <c r="A1" s="96" t="s">
        <v>45</v>
      </c>
      <c r="B1" s="96"/>
      <c r="C1" s="96"/>
      <c r="D1" s="96"/>
      <c r="E1" s="1"/>
    </row>
    <row r="2" spans="1:5" ht="17.399999999999999" x14ac:dyDescent="0.3">
      <c r="A2" s="98" t="s">
        <v>8</v>
      </c>
      <c r="B2" s="98"/>
      <c r="C2" s="98"/>
      <c r="D2" s="98"/>
      <c r="E2" s="1"/>
    </row>
    <row r="3" spans="1:5" x14ac:dyDescent="0.3">
      <c r="A3" s="3" t="s">
        <v>0</v>
      </c>
      <c r="B3" s="3"/>
      <c r="C3" s="3"/>
      <c r="D3" s="3"/>
    </row>
    <row r="4" spans="1:5" ht="33.75" customHeight="1" x14ac:dyDescent="0.3">
      <c r="A4" s="97" t="s">
        <v>46</v>
      </c>
      <c r="B4" s="97"/>
      <c r="C4" s="97"/>
      <c r="D4" s="97"/>
      <c r="E4" s="4"/>
    </row>
    <row r="5" spans="1:5" ht="33.75" customHeight="1" x14ac:dyDescent="0.3">
      <c r="A5" s="97" t="s">
        <v>47</v>
      </c>
      <c r="B5" s="97"/>
      <c r="C5" s="97"/>
      <c r="D5" s="97"/>
      <c r="E5" s="4"/>
    </row>
    <row r="6" spans="1:5" ht="15" customHeight="1" x14ac:dyDescent="0.3">
      <c r="A6" s="5"/>
      <c r="B6" s="5"/>
      <c r="C6" s="5"/>
      <c r="D6" s="42"/>
      <c r="E6" s="4"/>
    </row>
    <row r="7" spans="1:5" ht="15" customHeight="1" x14ac:dyDescent="0.3">
      <c r="A7" s="5"/>
      <c r="B7" s="5"/>
      <c r="C7" s="5"/>
      <c r="D7" s="42"/>
      <c r="E7" s="4"/>
    </row>
    <row r="8" spans="1:5" ht="15" customHeight="1" x14ac:dyDescent="0.3">
      <c r="A8" s="5"/>
      <c r="B8" s="5"/>
      <c r="C8" s="5"/>
      <c r="D8" s="42"/>
      <c r="E8" s="4"/>
    </row>
    <row r="9" spans="1:5" ht="32.25" customHeight="1" x14ac:dyDescent="0.3">
      <c r="A9" s="5"/>
      <c r="B9" s="5"/>
      <c r="C9" s="5"/>
      <c r="D9" s="42"/>
      <c r="E9" s="4"/>
    </row>
    <row r="10" spans="1:5" ht="47.25" customHeight="1" x14ac:dyDescent="0.3">
      <c r="A10" s="99" t="s">
        <v>48</v>
      </c>
      <c r="B10" s="99"/>
      <c r="C10" s="99"/>
      <c r="D10" s="99"/>
      <c r="E10" s="4"/>
    </row>
    <row r="11" spans="1:5" ht="33" customHeight="1" x14ac:dyDescent="0.3">
      <c r="A11" s="100" t="s">
        <v>9</v>
      </c>
      <c r="B11" s="100"/>
      <c r="C11" s="100"/>
      <c r="D11" s="100"/>
    </row>
    <row r="12" spans="1:5" ht="16.2" thickBot="1" x14ac:dyDescent="0.35">
      <c r="A12" s="6"/>
      <c r="B12" s="7" t="s">
        <v>24</v>
      </c>
      <c r="C12" s="6"/>
      <c r="D12" s="43"/>
    </row>
    <row r="13" spans="1:5" ht="16.2" thickBot="1" x14ac:dyDescent="0.35">
      <c r="A13" s="82" t="s">
        <v>37</v>
      </c>
      <c r="B13" s="8">
        <v>5000</v>
      </c>
      <c r="C13" s="3"/>
      <c r="D13" s="3"/>
    </row>
    <row r="14" spans="1:5" ht="16.2" thickBot="1" x14ac:dyDescent="0.35">
      <c r="A14" s="3" t="s">
        <v>6</v>
      </c>
      <c r="B14" s="9">
        <v>5.5</v>
      </c>
      <c r="C14" s="3"/>
      <c r="D14" s="3"/>
    </row>
    <row r="15" spans="1:5" ht="16.2" thickBot="1" x14ac:dyDescent="0.35">
      <c r="A15" s="3" t="s">
        <v>15</v>
      </c>
      <c r="B15" s="10">
        <f>B14-5</f>
        <v>0.5</v>
      </c>
      <c r="C15" s="3"/>
      <c r="D15" s="3"/>
      <c r="E15" s="11"/>
    </row>
    <row r="16" spans="1:5" ht="6.75" hidden="1" customHeight="1" x14ac:dyDescent="0.3">
      <c r="A16" s="3"/>
      <c r="B16" s="12"/>
      <c r="C16" s="3"/>
      <c r="D16" s="3"/>
      <c r="E16" s="11"/>
    </row>
    <row r="17" spans="1:5" x14ac:dyDescent="0.3">
      <c r="A17" s="3"/>
      <c r="B17" s="13" t="s">
        <v>22</v>
      </c>
      <c r="C17" s="14"/>
      <c r="D17" s="44">
        <f>D97</f>
        <v>685.92000000000007</v>
      </c>
      <c r="E17" s="11"/>
    </row>
    <row r="18" spans="1:5" ht="8.25" customHeight="1" x14ac:dyDescent="0.3">
      <c r="A18" s="3"/>
      <c r="B18" s="15"/>
      <c r="C18" s="3"/>
      <c r="D18" s="45"/>
      <c r="E18" s="11"/>
    </row>
    <row r="19" spans="1:5" ht="14.25" customHeight="1" x14ac:dyDescent="0.3">
      <c r="A19" s="3"/>
      <c r="B19" s="13" t="s">
        <v>23</v>
      </c>
      <c r="C19" s="14"/>
      <c r="D19" s="46">
        <f>D95/$B$13</f>
        <v>0.108072</v>
      </c>
      <c r="E19" s="11"/>
    </row>
    <row r="20" spans="1:5" ht="14.25" customHeight="1" thickBot="1" x14ac:dyDescent="0.35">
      <c r="A20" s="97"/>
      <c r="B20" s="97"/>
      <c r="C20" s="97"/>
      <c r="D20" s="97"/>
      <c r="E20" s="11"/>
    </row>
    <row r="21" spans="1:5" ht="16.2" hidden="1" thickBot="1" x14ac:dyDescent="0.35">
      <c r="A21" s="3"/>
      <c r="B21" s="3"/>
      <c r="C21" s="3"/>
      <c r="D21" s="3"/>
    </row>
    <row r="22" spans="1:5" ht="16.8" thickTop="1" thickBot="1" x14ac:dyDescent="0.35">
      <c r="A22" s="67" t="s">
        <v>49</v>
      </c>
      <c r="B22" s="68"/>
      <c r="C22" s="16"/>
      <c r="D22" s="69"/>
    </row>
    <row r="23" spans="1:5" x14ac:dyDescent="0.3">
      <c r="A23" s="70" t="s">
        <v>11</v>
      </c>
      <c r="B23" s="71"/>
      <c r="C23" s="71"/>
      <c r="D23" s="72">
        <f>ROUND(C24,2)</f>
        <v>28.49</v>
      </c>
    </row>
    <row r="24" spans="1:5" x14ac:dyDescent="0.3">
      <c r="A24" s="73"/>
      <c r="B24" s="3" t="s">
        <v>1</v>
      </c>
      <c r="C24" s="17">
        <v>28.49</v>
      </c>
      <c r="D24" s="64"/>
    </row>
    <row r="25" spans="1:5" x14ac:dyDescent="0.3">
      <c r="A25" s="74" t="s">
        <v>17</v>
      </c>
      <c r="B25" s="3"/>
      <c r="C25" s="17"/>
      <c r="D25" s="64"/>
    </row>
    <row r="26" spans="1:5" x14ac:dyDescent="0.3">
      <c r="A26" s="73" t="s">
        <v>56</v>
      </c>
      <c r="B26" s="3"/>
      <c r="C26" s="17"/>
      <c r="D26" s="64">
        <f>ROUND(C27,2)</f>
        <v>19.850000000000001</v>
      </c>
    </row>
    <row r="27" spans="1:5" x14ac:dyDescent="0.3">
      <c r="A27" s="74"/>
      <c r="B27" s="3" t="s">
        <v>1</v>
      </c>
      <c r="C27" s="17">
        <v>19.850000000000001</v>
      </c>
      <c r="D27" s="64"/>
    </row>
    <row r="28" spans="1:5" x14ac:dyDescent="0.3">
      <c r="A28" s="74"/>
      <c r="B28" s="3"/>
      <c r="C28" s="18"/>
      <c r="D28" s="64"/>
    </row>
    <row r="29" spans="1:5" x14ac:dyDescent="0.3">
      <c r="A29" s="73" t="s">
        <v>25</v>
      </c>
      <c r="B29" s="3"/>
      <c r="C29" s="3"/>
      <c r="D29" s="75">
        <f>ROUND(C30*$B$14,2)</f>
        <v>26.8</v>
      </c>
    </row>
    <row r="30" spans="1:5" x14ac:dyDescent="0.3">
      <c r="A30" s="73"/>
      <c r="B30" s="3" t="s">
        <v>35</v>
      </c>
      <c r="C30" s="19">
        <v>4.8722371000000004</v>
      </c>
      <c r="D30" s="64"/>
    </row>
    <row r="31" spans="1:5" x14ac:dyDescent="0.3">
      <c r="A31" s="73"/>
      <c r="B31" s="3"/>
      <c r="C31" s="19"/>
      <c r="D31" s="64"/>
    </row>
    <row r="32" spans="1:5" x14ac:dyDescent="0.3">
      <c r="A32" s="73" t="s">
        <v>54</v>
      </c>
      <c r="B32" s="3"/>
      <c r="C32" s="19"/>
      <c r="D32" s="76">
        <f>ROUND(C33*$B$13,2)</f>
        <v>1.45</v>
      </c>
    </row>
    <row r="33" spans="1:7" x14ac:dyDescent="0.3">
      <c r="A33" s="73"/>
      <c r="B33" s="3" t="s">
        <v>41</v>
      </c>
      <c r="C33" s="19">
        <v>2.9051599999999999E-4</v>
      </c>
      <c r="D33" s="64"/>
    </row>
    <row r="34" spans="1:7" x14ac:dyDescent="0.3">
      <c r="A34" s="73"/>
      <c r="B34" s="3"/>
      <c r="C34" s="19"/>
      <c r="D34" s="64"/>
    </row>
    <row r="35" spans="1:7" x14ac:dyDescent="0.3">
      <c r="A35" s="73" t="s">
        <v>26</v>
      </c>
      <c r="B35" s="3"/>
      <c r="C35" s="18"/>
      <c r="D35" s="76">
        <f>IF(B13&lt;833000,ROUND(C36*$B$13,2),ROUND(((833000)*C36)+((B13-833000)*C37),2))</f>
        <v>7.37</v>
      </c>
    </row>
    <row r="36" spans="1:7" x14ac:dyDescent="0.3">
      <c r="A36" s="73"/>
      <c r="B36" s="3" t="s">
        <v>41</v>
      </c>
      <c r="C36" s="20">
        <v>1.474E-3</v>
      </c>
      <c r="D36" s="64"/>
    </row>
    <row r="37" spans="1:7" x14ac:dyDescent="0.3">
      <c r="A37" s="73"/>
      <c r="B37" s="3" t="s">
        <v>42</v>
      </c>
      <c r="C37" s="20">
        <v>5.6999999999999998E-4</v>
      </c>
      <c r="D37" s="64"/>
    </row>
    <row r="38" spans="1:7" x14ac:dyDescent="0.3">
      <c r="A38" s="73"/>
      <c r="B38" s="3"/>
      <c r="C38" s="3"/>
      <c r="D38" s="64"/>
    </row>
    <row r="39" spans="1:7" x14ac:dyDescent="0.3">
      <c r="A39" s="73" t="s">
        <v>27</v>
      </c>
      <c r="B39" s="3"/>
      <c r="C39" s="3"/>
      <c r="D39" s="75">
        <f>ROUND(C40*$B$13,2)</f>
        <v>0</v>
      </c>
    </row>
    <row r="40" spans="1:7" x14ac:dyDescent="0.3">
      <c r="A40" s="73"/>
      <c r="B40" s="3" t="s">
        <v>2</v>
      </c>
      <c r="C40" s="19">
        <v>0</v>
      </c>
      <c r="D40" s="64"/>
    </row>
    <row r="41" spans="1:7" x14ac:dyDescent="0.3">
      <c r="A41" s="73"/>
      <c r="B41" s="3"/>
      <c r="C41" s="3"/>
      <c r="D41" s="64"/>
    </row>
    <row r="42" spans="1:7" x14ac:dyDescent="0.3">
      <c r="A42" s="73" t="s">
        <v>28</v>
      </c>
      <c r="B42" s="3"/>
      <c r="C42" s="3"/>
      <c r="D42" s="75">
        <f>ROUND(C43*$B$13,2)</f>
        <v>0</v>
      </c>
    </row>
    <row r="43" spans="1:7" x14ac:dyDescent="0.3">
      <c r="A43" s="73"/>
      <c r="B43" s="3" t="s">
        <v>2</v>
      </c>
      <c r="C43" s="19">
        <v>0</v>
      </c>
      <c r="D43" s="64"/>
    </row>
    <row r="44" spans="1:7" x14ac:dyDescent="0.3">
      <c r="A44" s="73"/>
      <c r="B44" s="3"/>
      <c r="C44" s="20"/>
      <c r="D44" s="64"/>
      <c r="E44" s="11"/>
      <c r="G44" s="11"/>
    </row>
    <row r="45" spans="1:7" x14ac:dyDescent="0.3">
      <c r="A45" s="73" t="s">
        <v>44</v>
      </c>
      <c r="B45" s="3"/>
      <c r="C45" s="19"/>
      <c r="D45" s="75">
        <f>IF(B13&gt;833000,ROUND(833000*C46,2),ROUND(C46*$B$13,2))</f>
        <v>9</v>
      </c>
    </row>
    <row r="46" spans="1:7" x14ac:dyDescent="0.3">
      <c r="A46" s="73"/>
      <c r="B46" s="3" t="s">
        <v>41</v>
      </c>
      <c r="C46" s="19">
        <v>1.8006999999999999E-3</v>
      </c>
      <c r="D46" s="75"/>
    </row>
    <row r="47" spans="1:7" x14ac:dyDescent="0.3">
      <c r="A47" s="73"/>
      <c r="B47" s="3"/>
      <c r="C47" s="20"/>
      <c r="D47" s="64"/>
      <c r="E47" s="11"/>
      <c r="G47" s="11"/>
    </row>
    <row r="48" spans="1:7" x14ac:dyDescent="0.3">
      <c r="A48" s="73"/>
      <c r="B48" s="3"/>
      <c r="C48" s="20"/>
      <c r="D48" s="64"/>
      <c r="E48" s="11"/>
      <c r="G48" s="11"/>
    </row>
    <row r="49" spans="1:5" x14ac:dyDescent="0.3">
      <c r="A49" s="73" t="s">
        <v>29</v>
      </c>
      <c r="B49" s="3"/>
      <c r="C49" s="3"/>
      <c r="D49" s="75">
        <f>IF($B$13&lt;2001,ROUND($B$13*C50,2),IF($B$13&gt;15000,ROUND(2000*C50,2)+ROUND(13000*C51,2)+ROUND(($B$13-15000)*C52,2),ROUND(2000*C50,2)+ROUND(($B$13-2000)*C51,2)))</f>
        <v>21.87</v>
      </c>
    </row>
    <row r="50" spans="1:5" x14ac:dyDescent="0.3">
      <c r="A50" s="73"/>
      <c r="B50" s="3" t="s">
        <v>62</v>
      </c>
      <c r="C50" s="19">
        <v>4.6499999999999996E-3</v>
      </c>
      <c r="D50" s="64"/>
      <c r="E50" s="11"/>
    </row>
    <row r="51" spans="1:5" x14ac:dyDescent="0.3">
      <c r="A51" s="73"/>
      <c r="B51" s="3" t="s">
        <v>4</v>
      </c>
      <c r="C51" s="19">
        <v>4.1900000000000001E-3</v>
      </c>
      <c r="D51" s="64"/>
    </row>
    <row r="52" spans="1:5" x14ac:dyDescent="0.3">
      <c r="A52" s="73"/>
      <c r="B52" s="3" t="s">
        <v>5</v>
      </c>
      <c r="C52" s="19">
        <v>3.63E-3</v>
      </c>
      <c r="D52" s="64"/>
    </row>
    <row r="53" spans="1:5" x14ac:dyDescent="0.3">
      <c r="A53" s="73"/>
      <c r="B53" s="3"/>
      <c r="C53" s="19"/>
      <c r="D53" s="64"/>
    </row>
    <row r="54" spans="1:5" x14ac:dyDescent="0.3">
      <c r="A54" s="73" t="s">
        <v>55</v>
      </c>
      <c r="B54" s="3"/>
      <c r="C54" s="19"/>
      <c r="D54" s="64">
        <f>ROUND(C55*(D29+D23),2)</f>
        <v>4.5999999999999996</v>
      </c>
    </row>
    <row r="55" spans="1:5" x14ac:dyDescent="0.3">
      <c r="A55" s="73"/>
      <c r="B55" s="77" t="s">
        <v>33</v>
      </c>
      <c r="C55" s="87">
        <v>8.3150000000000002E-2</v>
      </c>
      <c r="D55" s="64"/>
    </row>
    <row r="56" spans="1:5" x14ac:dyDescent="0.3">
      <c r="A56" s="73"/>
      <c r="B56" s="77"/>
      <c r="C56" s="61"/>
      <c r="D56" s="64"/>
    </row>
    <row r="57" spans="1:5" x14ac:dyDescent="0.3">
      <c r="A57" s="63" t="s">
        <v>58</v>
      </c>
      <c r="B57" s="77"/>
      <c r="C57" s="87"/>
      <c r="D57" s="88">
        <f>C58*B16</f>
        <v>0</v>
      </c>
    </row>
    <row r="58" spans="1:5" x14ac:dyDescent="0.3">
      <c r="A58" s="63"/>
      <c r="B58" s="3" t="s">
        <v>2</v>
      </c>
      <c r="C58" s="86">
        <v>0</v>
      </c>
      <c r="D58" s="64"/>
    </row>
    <row r="59" spans="1:5" x14ac:dyDescent="0.3">
      <c r="A59" s="63"/>
      <c r="B59" s="3"/>
      <c r="C59" s="86"/>
      <c r="D59" s="64"/>
    </row>
    <row r="60" spans="1:5" x14ac:dyDescent="0.3">
      <c r="A60" s="63" t="s">
        <v>57</v>
      </c>
      <c r="B60" s="3"/>
      <c r="C60" s="61"/>
      <c r="D60" s="64">
        <f>C61</f>
        <v>1.1000000000000001</v>
      </c>
    </row>
    <row r="61" spans="1:5" x14ac:dyDescent="0.3">
      <c r="A61" s="63"/>
      <c r="B61" s="3" t="s">
        <v>1</v>
      </c>
      <c r="C61" s="86">
        <v>1.1000000000000001</v>
      </c>
      <c r="D61" s="64"/>
    </row>
    <row r="62" spans="1:5" x14ac:dyDescent="0.3">
      <c r="A62" s="63"/>
      <c r="B62" s="3"/>
      <c r="C62" s="86"/>
      <c r="D62" s="64"/>
    </row>
    <row r="63" spans="1:5" x14ac:dyDescent="0.3">
      <c r="A63" s="63" t="s">
        <v>59</v>
      </c>
      <c r="B63" s="3"/>
      <c r="C63" s="86"/>
      <c r="D63" s="64">
        <f>ROUND((D23+D29)*C64,2)</f>
        <v>5.85</v>
      </c>
    </row>
    <row r="64" spans="1:5" x14ac:dyDescent="0.3">
      <c r="A64" s="63"/>
      <c r="B64" s="77" t="s">
        <v>33</v>
      </c>
      <c r="C64" s="89">
        <v>0.105778</v>
      </c>
      <c r="D64" s="64"/>
    </row>
    <row r="65" spans="1:5" x14ac:dyDescent="0.3">
      <c r="A65" s="63"/>
      <c r="B65" s="3"/>
      <c r="C65" s="19"/>
      <c r="D65" s="64"/>
    </row>
    <row r="66" spans="1:5" x14ac:dyDescent="0.3">
      <c r="A66" s="73" t="s">
        <v>60</v>
      </c>
      <c r="B66" s="3"/>
      <c r="C66" s="19"/>
      <c r="D66" s="64"/>
    </row>
    <row r="67" spans="1:5" x14ac:dyDescent="0.3">
      <c r="A67" s="73"/>
      <c r="B67" s="3"/>
      <c r="C67" s="19"/>
      <c r="D67" s="64"/>
    </row>
    <row r="68" spans="1:5" x14ac:dyDescent="0.3">
      <c r="A68" s="73"/>
      <c r="B68" s="3"/>
      <c r="C68" s="19"/>
      <c r="D68" s="64"/>
    </row>
    <row r="69" spans="1:5" x14ac:dyDescent="0.3">
      <c r="A69" s="73"/>
      <c r="B69" s="3"/>
      <c r="C69" s="19"/>
      <c r="D69" s="64"/>
    </row>
    <row r="70" spans="1:5" x14ac:dyDescent="0.3">
      <c r="A70" s="73"/>
      <c r="B70" s="3"/>
      <c r="C70" s="19"/>
      <c r="D70" s="64"/>
    </row>
    <row r="71" spans="1:5" x14ac:dyDescent="0.3">
      <c r="A71" s="73"/>
      <c r="B71" s="3"/>
      <c r="C71" s="19"/>
      <c r="D71" s="75"/>
    </row>
    <row r="72" spans="1:5" x14ac:dyDescent="0.3">
      <c r="A72" s="63" t="s">
        <v>34</v>
      </c>
      <c r="B72" s="3"/>
      <c r="C72" s="19"/>
      <c r="D72" s="65">
        <f>C73</f>
        <v>6.34</v>
      </c>
    </row>
    <row r="73" spans="1:5" x14ac:dyDescent="0.3">
      <c r="A73" s="66"/>
      <c r="B73" s="3" t="s">
        <v>1</v>
      </c>
      <c r="C73" s="85">
        <v>6.34</v>
      </c>
      <c r="D73" s="65"/>
    </row>
    <row r="74" spans="1:5" x14ac:dyDescent="0.3">
      <c r="A74" s="73"/>
      <c r="B74" s="3"/>
      <c r="C74" s="19"/>
      <c r="D74" s="75"/>
    </row>
    <row r="75" spans="1:5" x14ac:dyDescent="0.3">
      <c r="A75" s="73" t="s">
        <v>30</v>
      </c>
      <c r="B75" s="3"/>
      <c r="C75" s="3"/>
      <c r="D75" s="75">
        <f>IF($B$13&lt;1501,ROUND($B$13*C77,2)+ROUND($B$14*C76,2),IF($B$13&gt;1500,ROUND(1500*C77,2)+ROUND(($B$13-1500)*C78,2)+ROUND(C76*$B$14,2)))</f>
        <v>13.91</v>
      </c>
      <c r="E75" s="11"/>
    </row>
    <row r="76" spans="1:5" x14ac:dyDescent="0.3">
      <c r="A76" s="73"/>
      <c r="B76" s="3" t="s">
        <v>10</v>
      </c>
      <c r="C76" s="19">
        <v>1.89849879606689</v>
      </c>
      <c r="D76" s="75"/>
    </row>
    <row r="77" spans="1:5" x14ac:dyDescent="0.3">
      <c r="A77" s="73"/>
      <c r="B77" s="3" t="s">
        <v>12</v>
      </c>
      <c r="C77" s="19">
        <v>6.9340000000000005E-4</v>
      </c>
      <c r="D77" s="75"/>
    </row>
    <row r="78" spans="1:5" x14ac:dyDescent="0.3">
      <c r="A78" s="73"/>
      <c r="B78" s="3" t="s">
        <v>16</v>
      </c>
      <c r="C78" s="19">
        <v>6.9340000000000005E-4</v>
      </c>
      <c r="D78" s="75"/>
    </row>
    <row r="79" spans="1:5" x14ac:dyDescent="0.3">
      <c r="A79" s="73"/>
      <c r="B79" s="3"/>
      <c r="C79" s="19"/>
      <c r="D79" s="75"/>
    </row>
    <row r="80" spans="1:5" x14ac:dyDescent="0.3">
      <c r="A80" s="63" t="s">
        <v>43</v>
      </c>
      <c r="B80" s="3"/>
      <c r="C80" s="19"/>
      <c r="D80" s="75">
        <f>ROUND((D23+D29)*C81,2)</f>
        <v>-1.07</v>
      </c>
    </row>
    <row r="81" spans="1:8" x14ac:dyDescent="0.3">
      <c r="A81" s="63"/>
      <c r="B81" s="3" t="s">
        <v>33</v>
      </c>
      <c r="C81" s="61">
        <v>-1.9311999999999999E-2</v>
      </c>
      <c r="D81" s="75"/>
    </row>
    <row r="82" spans="1:8" x14ac:dyDescent="0.3">
      <c r="A82" s="63"/>
      <c r="B82" s="77"/>
      <c r="C82" s="19"/>
      <c r="D82" s="75"/>
      <c r="E82" s="22"/>
      <c r="H82" s="22"/>
    </row>
    <row r="83" spans="1:8" x14ac:dyDescent="0.3">
      <c r="A83" s="74" t="s">
        <v>32</v>
      </c>
      <c r="B83" s="21"/>
      <c r="C83" s="3"/>
      <c r="D83" s="84">
        <f>SUM(D26:D80)</f>
        <v>117.07</v>
      </c>
    </row>
    <row r="84" spans="1:8" x14ac:dyDescent="0.3">
      <c r="A84" s="74"/>
      <c r="B84" s="21"/>
      <c r="C84" s="3"/>
      <c r="D84" s="75"/>
    </row>
    <row r="85" spans="1:8" ht="16.2" thickBot="1" x14ac:dyDescent="0.35">
      <c r="A85" s="78" t="s">
        <v>50</v>
      </c>
      <c r="B85" s="79"/>
      <c r="C85" s="80"/>
      <c r="D85" s="81">
        <f>SUM(D83+D23)</f>
        <v>145.56</v>
      </c>
    </row>
    <row r="86" spans="1:8" x14ac:dyDescent="0.3">
      <c r="A86" s="36"/>
      <c r="B86" s="21"/>
      <c r="C86" s="3"/>
      <c r="D86" s="47"/>
    </row>
    <row r="87" spans="1:8" x14ac:dyDescent="0.3">
      <c r="A87" s="36"/>
      <c r="B87" s="21"/>
      <c r="C87" s="3"/>
      <c r="D87" s="47"/>
    </row>
    <row r="88" spans="1:8" ht="16.2" thickBot="1" x14ac:dyDescent="0.35">
      <c r="A88" s="59" t="s">
        <v>19</v>
      </c>
      <c r="B88" s="23"/>
      <c r="C88" s="24"/>
      <c r="D88" s="48"/>
    </row>
    <row r="89" spans="1:8" ht="16.2" thickTop="1" x14ac:dyDescent="0.3">
      <c r="A89" s="60" t="s">
        <v>31</v>
      </c>
      <c r="B89" s="25"/>
      <c r="C89" s="25"/>
      <c r="D89" s="49">
        <f>IF($B$13&lt;1501,ROUND($B$13*C91,2)+ROUND($B$15*C90,2),IF($B$13&gt;125000,ROUND(1500*C91,2)+ROUND(123500*C92,2)+ROUND(($B$13-125000)*C93,2)+ROUND($B$15*C90,2),ROUND(1500*C91,2)+ROUND(($B$13-1500)*C92,2)+ROUND(C90*$B$15,2)))</f>
        <v>540.36</v>
      </c>
    </row>
    <row r="90" spans="1:8" x14ac:dyDescent="0.3">
      <c r="A90" s="26"/>
      <c r="B90" s="3" t="s">
        <v>10</v>
      </c>
      <c r="C90" s="19">
        <v>0</v>
      </c>
      <c r="D90" s="50"/>
    </row>
    <row r="91" spans="1:8" x14ac:dyDescent="0.3">
      <c r="A91" s="27"/>
      <c r="B91" s="3" t="s">
        <v>12</v>
      </c>
      <c r="C91" s="19">
        <v>0.1080709</v>
      </c>
      <c r="D91" s="50"/>
    </row>
    <row r="92" spans="1:8" x14ac:dyDescent="0.3">
      <c r="A92" s="27"/>
      <c r="B92" s="3" t="s">
        <v>13</v>
      </c>
      <c r="C92" s="19">
        <v>0.1080709</v>
      </c>
      <c r="D92" s="50"/>
    </row>
    <row r="93" spans="1:8" x14ac:dyDescent="0.3">
      <c r="A93" s="27"/>
      <c r="B93" s="3" t="s">
        <v>14</v>
      </c>
      <c r="C93" s="19">
        <v>0.1080709</v>
      </c>
      <c r="D93" s="50"/>
      <c r="E93" s="11"/>
      <c r="F93" s="11"/>
    </row>
    <row r="94" spans="1:8" x14ac:dyDescent="0.3">
      <c r="A94" s="27"/>
      <c r="B94" s="21"/>
      <c r="C94" s="3"/>
      <c r="D94" s="50"/>
    </row>
    <row r="95" spans="1:8" ht="16.2" thickBot="1" x14ac:dyDescent="0.35">
      <c r="A95" s="28" t="s">
        <v>21</v>
      </c>
      <c r="B95" s="29"/>
      <c r="C95" s="30"/>
      <c r="D95" s="51">
        <f>SUM(D89)</f>
        <v>540.36</v>
      </c>
    </row>
    <row r="96" spans="1:8" ht="16.2" thickTop="1" x14ac:dyDescent="0.3">
      <c r="A96" s="31"/>
      <c r="B96" s="21"/>
      <c r="C96" s="3"/>
      <c r="D96" s="52"/>
    </row>
    <row r="97" spans="1:4" ht="16.2" thickBot="1" x14ac:dyDescent="0.35">
      <c r="A97" s="32" t="s">
        <v>20</v>
      </c>
      <c r="B97" s="92"/>
      <c r="C97" s="92"/>
      <c r="D97" s="53">
        <f>SUM(D95,D85)</f>
        <v>685.92000000000007</v>
      </c>
    </row>
    <row r="98" spans="1:4" ht="16.8" thickTop="1" thickBot="1" x14ac:dyDescent="0.35">
      <c r="A98" s="16"/>
      <c r="B98" s="16"/>
      <c r="C98" s="16"/>
      <c r="D98" s="16"/>
    </row>
    <row r="99" spans="1:4" ht="16.8" thickTop="1" thickBot="1" x14ac:dyDescent="0.35">
      <c r="A99" s="21"/>
      <c r="B99" s="93" t="s">
        <v>51</v>
      </c>
      <c r="C99" s="94"/>
      <c r="D99" s="95"/>
    </row>
    <row r="100" spans="1:4" ht="16.2" thickTop="1" x14ac:dyDescent="0.3">
      <c r="A100" s="3"/>
      <c r="B100" s="33"/>
      <c r="C100" s="34"/>
      <c r="D100" s="54"/>
    </row>
    <row r="101" spans="1:4" x14ac:dyDescent="0.3">
      <c r="A101" s="3"/>
      <c r="B101" s="35" t="s">
        <v>49</v>
      </c>
      <c r="C101" s="36"/>
      <c r="D101" s="55"/>
    </row>
    <row r="102" spans="1:4" x14ac:dyDescent="0.3">
      <c r="A102" s="3"/>
      <c r="B102" s="37" t="s">
        <v>7</v>
      </c>
      <c r="C102" s="3"/>
      <c r="D102" s="56">
        <f>D23</f>
        <v>28.49</v>
      </c>
    </row>
    <row r="103" spans="1:4" x14ac:dyDescent="0.3">
      <c r="A103" s="3"/>
      <c r="B103" s="37" t="s">
        <v>18</v>
      </c>
      <c r="C103" s="3"/>
      <c r="D103" s="56">
        <f>D83</f>
        <v>117.07</v>
      </c>
    </row>
    <row r="104" spans="1:4" x14ac:dyDescent="0.3">
      <c r="A104" s="3"/>
      <c r="B104" s="38" t="s">
        <v>52</v>
      </c>
      <c r="C104" s="3"/>
      <c r="D104" s="57">
        <f>D85</f>
        <v>145.56</v>
      </c>
    </row>
    <row r="105" spans="1:4" x14ac:dyDescent="0.3">
      <c r="A105" s="3"/>
      <c r="B105" s="39"/>
      <c r="C105" s="3"/>
      <c r="D105" s="57"/>
    </row>
    <row r="106" spans="1:4" x14ac:dyDescent="0.3">
      <c r="A106" s="21"/>
      <c r="B106" s="39" t="s">
        <v>19</v>
      </c>
      <c r="C106" s="3"/>
      <c r="D106" s="55"/>
    </row>
    <row r="107" spans="1:4" ht="16.2" thickBot="1" x14ac:dyDescent="0.35">
      <c r="A107" s="21"/>
      <c r="B107" s="40" t="s">
        <v>21</v>
      </c>
      <c r="C107" s="41"/>
      <c r="D107" s="58">
        <f>D95</f>
        <v>540.36</v>
      </c>
    </row>
    <row r="108" spans="1:4" ht="16.2" thickTop="1" x14ac:dyDescent="0.3"/>
    <row r="110" spans="1:4" x14ac:dyDescent="0.3">
      <c r="A110" s="11"/>
      <c r="B110" s="11"/>
    </row>
  </sheetData>
  <sheetProtection algorithmName="SHA-512" hashValue="isKL5qXdgiOBz4+EOk9qV3FYV3DWPpy44I876XoMnEUGFExYOYbO4qamcDpgXYV7ZDv6z8U9U1+bLTmoxbAKKw==" saltValue="+TyRZXucqZt7hkmXfjCsKA==" spinCount="100000" sheet="1" selectLockedCells="1"/>
  <mergeCells count="9">
    <mergeCell ref="B97:C97"/>
    <mergeCell ref="B99:D99"/>
    <mergeCell ref="A1:D1"/>
    <mergeCell ref="A20:D20"/>
    <mergeCell ref="A2:D2"/>
    <mergeCell ref="A4:D4"/>
    <mergeCell ref="A5:D5"/>
    <mergeCell ref="A10:D10"/>
    <mergeCell ref="A11:D11"/>
  </mergeCells>
  <conditionalFormatting sqref="C80:C82">
    <cfRule type="cellIs" dxfId="15" priority="3" operator="lessThan">
      <formula>0</formula>
    </cfRule>
  </conditionalFormatting>
  <conditionalFormatting sqref="C1:D56 C71:D71 C74:D79 D80:D82 C83:D98 C100:D65542">
    <cfRule type="cellIs" dxfId="14" priority="8" operator="lessThan">
      <formula>0</formula>
    </cfRule>
  </conditionalFormatting>
  <conditionalFormatting sqref="C23:D56 C71:D71 C74:D79 D80:D82 C83:D94">
    <cfRule type="cellIs" dxfId="13" priority="7" operator="lessThan">
      <formula>0</formula>
    </cfRule>
  </conditionalFormatting>
  <conditionalFormatting sqref="C57:D70">
    <cfRule type="cellIs" dxfId="12" priority="1" operator="lessThan">
      <formula>0</formula>
    </cfRule>
  </conditionalFormatting>
  <conditionalFormatting sqref="C72:D73">
    <cfRule type="cellIs" dxfId="11" priority="5" operator="lessThan">
      <formula>0</formula>
    </cfRule>
  </conditionalFormatting>
  <dataValidations count="1">
    <dataValidation type="decimal" errorStyle="information" allowBlank="1" showInputMessage="1" showErrorMessage="1" errorTitle="Invalid entry" error="This cell must contain a positive number._x000a_" sqref="B13:B15" xr:uid="{00000000-0002-0000-0000-000000000000}">
      <formula1>0</formula1>
      <formula2>100000000</formula2>
    </dataValidation>
  </dataValidations>
  <printOptions horizontalCentered="1"/>
  <pageMargins left="0.7" right="0.7" top="0.75" bottom="0.75" header="0.3" footer="0.3"/>
  <pageSetup scale="76" orientation="portrait" r:id="rId1"/>
  <headerFooter>
    <oddHeader xml:space="preserve">&amp;L&amp;G&amp;R&amp;"Arial,Regular"Effective April 1, 2024
</oddHeader>
    <oddFooter>&amp;L&amp;"Arial,Regular"Worksheet valid for calculating bills starting on April 1, 2024.  This billing worksheet does not take into account the maximum billing charges for this rate structure.</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1"/>
  <sheetViews>
    <sheetView showGridLines="0" showRowColHeaders="0" showRuler="0" view="pageLayout" topLeftCell="A57" zoomScale="90" zoomScaleNormal="90" zoomScaleSheetLayoutView="85" zoomScalePageLayoutView="90" workbookViewId="0">
      <selection activeCell="B17" sqref="B17"/>
    </sheetView>
  </sheetViews>
  <sheetFormatPr defaultColWidth="9.109375" defaultRowHeight="15.6" x14ac:dyDescent="0.3"/>
  <cols>
    <col min="1" max="1" width="36.109375" style="2" customWidth="1"/>
    <col min="2" max="2" width="44.5546875" style="2" customWidth="1"/>
    <col min="3" max="3" width="15.5546875" style="2" customWidth="1"/>
    <col min="4" max="4" width="16.88671875" style="2" customWidth="1"/>
    <col min="5" max="5" width="53" style="2" customWidth="1"/>
    <col min="6" max="6" width="53.6640625" style="2" bestFit="1" customWidth="1"/>
    <col min="7" max="16384" width="9.109375" style="2"/>
  </cols>
  <sheetData>
    <row r="1" spans="1:5" ht="21" x14ac:dyDescent="0.4">
      <c r="A1" s="96" t="s">
        <v>45</v>
      </c>
      <c r="B1" s="96"/>
      <c r="C1" s="96"/>
      <c r="D1" s="96"/>
      <c r="E1" s="1"/>
    </row>
    <row r="2" spans="1:5" ht="17.399999999999999" x14ac:dyDescent="0.3">
      <c r="A2" s="98" t="s">
        <v>36</v>
      </c>
      <c r="B2" s="98"/>
      <c r="C2" s="98"/>
      <c r="D2" s="98"/>
      <c r="E2" s="1"/>
    </row>
    <row r="3" spans="1:5" ht="8.25" customHeight="1" x14ac:dyDescent="0.3">
      <c r="A3" s="62"/>
      <c r="B3" s="62"/>
      <c r="C3" s="62"/>
      <c r="D3" s="62"/>
      <c r="E3" s="1"/>
    </row>
    <row r="4" spans="1:5" x14ac:dyDescent="0.3">
      <c r="A4" s="3" t="s">
        <v>0</v>
      </c>
      <c r="B4" s="3"/>
      <c r="C4" s="3"/>
      <c r="D4" s="3"/>
    </row>
    <row r="5" spans="1:5" ht="33.75" customHeight="1" x14ac:dyDescent="0.3">
      <c r="A5" s="97" t="s">
        <v>46</v>
      </c>
      <c r="B5" s="97"/>
      <c r="C5" s="97"/>
      <c r="D5" s="97"/>
      <c r="E5" s="4"/>
    </row>
    <row r="6" spans="1:5" ht="33.75" customHeight="1" x14ac:dyDescent="0.3">
      <c r="A6" s="97" t="s">
        <v>47</v>
      </c>
      <c r="B6" s="97"/>
      <c r="C6" s="97"/>
      <c r="D6" s="97"/>
      <c r="E6" s="4"/>
    </row>
    <row r="7" spans="1:5" ht="46.5" customHeight="1" x14ac:dyDescent="0.3">
      <c r="A7" s="101" t="s">
        <v>40</v>
      </c>
      <c r="B7" s="101"/>
      <c r="C7" s="101"/>
      <c r="D7" s="101"/>
      <c r="E7" s="4"/>
    </row>
    <row r="8" spans="1:5" ht="15" customHeight="1" x14ac:dyDescent="0.3">
      <c r="A8" s="5"/>
      <c r="B8" s="5"/>
      <c r="C8" s="5"/>
      <c r="D8" s="42"/>
      <c r="E8" s="4"/>
    </row>
    <row r="9" spans="1:5" ht="15" customHeight="1" x14ac:dyDescent="0.3">
      <c r="A9" s="5"/>
      <c r="B9" s="5"/>
      <c r="C9" s="5"/>
      <c r="D9" s="42"/>
      <c r="E9" s="4"/>
    </row>
    <row r="10" spans="1:5" ht="15" customHeight="1" x14ac:dyDescent="0.3">
      <c r="A10" s="5"/>
      <c r="B10" s="5"/>
      <c r="C10" s="5"/>
      <c r="D10" s="42"/>
      <c r="E10" s="4"/>
    </row>
    <row r="11" spans="1:5" ht="19.5" customHeight="1" x14ac:dyDescent="0.3">
      <c r="A11" s="5"/>
      <c r="B11" s="5"/>
      <c r="C11" s="5"/>
      <c r="D11" s="42"/>
      <c r="E11" s="4"/>
    </row>
    <row r="12" spans="1:5" ht="8.25" customHeight="1" x14ac:dyDescent="0.3">
      <c r="A12" s="5"/>
      <c r="B12" s="5"/>
      <c r="C12" s="5"/>
      <c r="D12" s="42"/>
      <c r="E12" s="4"/>
    </row>
    <row r="13" spans="1:5" ht="15.75" customHeight="1" x14ac:dyDescent="0.3">
      <c r="A13" s="5"/>
      <c r="B13" s="5"/>
      <c r="C13" s="5"/>
      <c r="D13" s="42"/>
      <c r="E13" s="4"/>
    </row>
    <row r="14" spans="1:5" ht="47.25" customHeight="1" x14ac:dyDescent="0.3">
      <c r="A14" s="99" t="s">
        <v>53</v>
      </c>
      <c r="B14" s="99"/>
      <c r="C14" s="99"/>
      <c r="D14" s="99"/>
      <c r="E14" s="4"/>
    </row>
    <row r="15" spans="1:5" ht="33" customHeight="1" x14ac:dyDescent="0.3">
      <c r="A15" s="100" t="s">
        <v>9</v>
      </c>
      <c r="B15" s="100"/>
      <c r="C15" s="100"/>
      <c r="D15" s="100"/>
    </row>
    <row r="16" spans="1:5" ht="16.2" thickBot="1" x14ac:dyDescent="0.35">
      <c r="A16" s="6"/>
      <c r="B16" s="7" t="s">
        <v>24</v>
      </c>
      <c r="C16" s="6"/>
      <c r="D16" s="43"/>
    </row>
    <row r="17" spans="1:5" ht="16.2" thickBot="1" x14ac:dyDescent="0.35">
      <c r="A17" s="82" t="s">
        <v>37</v>
      </c>
      <c r="B17" s="8">
        <v>5000</v>
      </c>
      <c r="C17" s="3"/>
      <c r="D17" s="3"/>
    </row>
    <row r="18" spans="1:5" ht="16.2" thickBot="1" x14ac:dyDescent="0.35">
      <c r="A18" s="82" t="s">
        <v>38</v>
      </c>
      <c r="B18" s="8"/>
      <c r="C18" s="3"/>
      <c r="D18" s="3"/>
    </row>
    <row r="19" spans="1:5" ht="16.2" thickBot="1" x14ac:dyDescent="0.35">
      <c r="A19" s="82" t="s">
        <v>39</v>
      </c>
      <c r="B19" s="83">
        <f>B17-B18</f>
        <v>5000</v>
      </c>
      <c r="C19" s="3"/>
      <c r="D19" s="3"/>
    </row>
    <row r="20" spans="1:5" ht="16.2" thickBot="1" x14ac:dyDescent="0.35">
      <c r="A20" s="3" t="s">
        <v>6</v>
      </c>
      <c r="B20" s="9">
        <v>5.5</v>
      </c>
      <c r="C20" s="3"/>
      <c r="D20" s="3"/>
    </row>
    <row r="21" spans="1:5" ht="16.2" thickBot="1" x14ac:dyDescent="0.35">
      <c r="A21" s="3" t="s">
        <v>15</v>
      </c>
      <c r="B21" s="10">
        <f>IF(B20&gt;5,B20-5,0)</f>
        <v>0.5</v>
      </c>
      <c r="C21" s="3"/>
      <c r="D21" s="3"/>
      <c r="E21" s="11"/>
    </row>
    <row r="22" spans="1:5" ht="6.75" hidden="1" customHeight="1" x14ac:dyDescent="0.3">
      <c r="A22" s="3"/>
      <c r="B22" s="12"/>
      <c r="C22" s="3"/>
      <c r="D22" s="3"/>
      <c r="E22" s="11"/>
    </row>
    <row r="23" spans="1:5" ht="6.75" customHeight="1" x14ac:dyDescent="0.3">
      <c r="A23" s="3"/>
      <c r="B23" s="12"/>
      <c r="C23" s="3"/>
      <c r="D23" s="3"/>
      <c r="E23" s="11"/>
    </row>
    <row r="24" spans="1:5" x14ac:dyDescent="0.3">
      <c r="A24" s="3"/>
      <c r="B24" s="13" t="s">
        <v>22</v>
      </c>
      <c r="C24" s="14"/>
      <c r="D24" s="44">
        <f>D90+D93</f>
        <v>685.92000000000007</v>
      </c>
      <c r="E24" s="11"/>
    </row>
    <row r="25" spans="1:5" ht="8.25" customHeight="1" x14ac:dyDescent="0.3">
      <c r="A25" s="3"/>
      <c r="B25" s="15"/>
      <c r="C25" s="3"/>
      <c r="D25" s="45"/>
      <c r="E25" s="11"/>
    </row>
    <row r="26" spans="1:5" ht="14.25" customHeight="1" x14ac:dyDescent="0.3">
      <c r="A26" s="3"/>
      <c r="B26" s="13" t="s">
        <v>23</v>
      </c>
      <c r="C26" s="14"/>
      <c r="D26" s="46">
        <f>IF($B$19&lt;0,-(D99/$B$19),D99/$B$19)</f>
        <v>0.108072</v>
      </c>
      <c r="E26" s="11"/>
    </row>
    <row r="27" spans="1:5" ht="14.25" customHeight="1" thickBot="1" x14ac:dyDescent="0.35">
      <c r="A27" s="97"/>
      <c r="B27" s="97"/>
      <c r="C27" s="97"/>
      <c r="D27" s="97"/>
      <c r="E27" s="11"/>
    </row>
    <row r="28" spans="1:5" ht="16.2" hidden="1" thickBot="1" x14ac:dyDescent="0.35">
      <c r="A28" s="3"/>
      <c r="B28" s="3"/>
      <c r="C28" s="3"/>
      <c r="D28" s="3"/>
    </row>
    <row r="29" spans="1:5" ht="16.8" thickTop="1" thickBot="1" x14ac:dyDescent="0.35">
      <c r="A29" s="67" t="s">
        <v>49</v>
      </c>
      <c r="B29" s="68"/>
      <c r="C29" s="16"/>
      <c r="D29" s="69"/>
    </row>
    <row r="30" spans="1:5" x14ac:dyDescent="0.3">
      <c r="A30" s="70" t="s">
        <v>11</v>
      </c>
      <c r="B30" s="71"/>
      <c r="C30" s="71"/>
      <c r="D30" s="72">
        <f>ROUND(C31,2)</f>
        <v>28.49</v>
      </c>
    </row>
    <row r="31" spans="1:5" x14ac:dyDescent="0.3">
      <c r="A31" s="73"/>
      <c r="B31" s="3" t="s">
        <v>1</v>
      </c>
      <c r="C31" s="17">
        <v>28.49</v>
      </c>
      <c r="D31" s="64"/>
    </row>
    <row r="32" spans="1:5" x14ac:dyDescent="0.3">
      <c r="A32" s="74" t="s">
        <v>17</v>
      </c>
      <c r="B32" s="3"/>
      <c r="C32" s="17"/>
      <c r="D32" s="64"/>
    </row>
    <row r="33" spans="1:4" x14ac:dyDescent="0.3">
      <c r="A33" s="73" t="s">
        <v>56</v>
      </c>
      <c r="B33" s="3"/>
      <c r="C33" s="17"/>
      <c r="D33" s="64">
        <f>ROUND(C34,2)</f>
        <v>19.850000000000001</v>
      </c>
    </row>
    <row r="34" spans="1:4" x14ac:dyDescent="0.3">
      <c r="A34" s="74"/>
      <c r="B34" s="3" t="s">
        <v>1</v>
      </c>
      <c r="C34" s="17">
        <v>19.850000000000001</v>
      </c>
      <c r="D34" s="64"/>
    </row>
    <row r="35" spans="1:4" x14ac:dyDescent="0.3">
      <c r="A35" s="74"/>
      <c r="B35" s="3"/>
      <c r="C35" s="18"/>
      <c r="D35" s="64"/>
    </row>
    <row r="36" spans="1:4" x14ac:dyDescent="0.3">
      <c r="A36" s="73" t="s">
        <v>25</v>
      </c>
      <c r="B36" s="3"/>
      <c r="C36" s="3"/>
      <c r="D36" s="75">
        <f>ROUND(C37*$B$20,2)</f>
        <v>26.8</v>
      </c>
    </row>
    <row r="37" spans="1:4" x14ac:dyDescent="0.3">
      <c r="A37" s="73"/>
      <c r="B37" s="3" t="s">
        <v>35</v>
      </c>
      <c r="C37" s="19">
        <v>4.8722371000000004</v>
      </c>
      <c r="D37" s="64"/>
    </row>
    <row r="38" spans="1:4" x14ac:dyDescent="0.3">
      <c r="A38" s="73"/>
      <c r="B38" s="3"/>
      <c r="C38" s="19"/>
      <c r="D38" s="64"/>
    </row>
    <row r="39" spans="1:4" x14ac:dyDescent="0.3">
      <c r="A39" s="73" t="s">
        <v>54</v>
      </c>
      <c r="B39" s="3"/>
      <c r="C39" s="19"/>
      <c r="D39" s="76">
        <f>ROUND(C40*$B$19,2)</f>
        <v>1.45</v>
      </c>
    </row>
    <row r="40" spans="1:4" x14ac:dyDescent="0.3">
      <c r="A40" s="73"/>
      <c r="B40" s="3" t="s">
        <v>41</v>
      </c>
      <c r="C40" s="19">
        <f>'137'!C33</f>
        <v>2.9051599999999999E-4</v>
      </c>
      <c r="D40" s="64"/>
    </row>
    <row r="41" spans="1:4" x14ac:dyDescent="0.3">
      <c r="A41" s="73"/>
      <c r="B41" s="3"/>
      <c r="C41" s="19"/>
      <c r="D41" s="64"/>
    </row>
    <row r="42" spans="1:4" x14ac:dyDescent="0.3">
      <c r="A42" s="73" t="s">
        <v>26</v>
      </c>
      <c r="B42" s="3"/>
      <c r="C42" s="18"/>
      <c r="D42" s="76">
        <f>IF(B20&lt;833000,ROUND(C43*$B$19,2),ROUND(((833000)*C43)+((B20-833000)*C44),2))</f>
        <v>7.37</v>
      </c>
    </row>
    <row r="43" spans="1:4" x14ac:dyDescent="0.3">
      <c r="A43" s="73"/>
      <c r="B43" s="3" t="s">
        <v>41</v>
      </c>
      <c r="C43" s="20">
        <f>'137'!C36</f>
        <v>1.474E-3</v>
      </c>
      <c r="D43" s="64"/>
    </row>
    <row r="44" spans="1:4" x14ac:dyDescent="0.3">
      <c r="A44" s="73"/>
      <c r="B44" s="3" t="s">
        <v>42</v>
      </c>
      <c r="C44" s="20">
        <v>5.6999999999999998E-4</v>
      </c>
      <c r="D44" s="64"/>
    </row>
    <row r="45" spans="1:4" x14ac:dyDescent="0.3">
      <c r="A45" s="73"/>
      <c r="B45" s="3"/>
      <c r="C45" s="3"/>
      <c r="D45" s="64"/>
    </row>
    <row r="46" spans="1:4" x14ac:dyDescent="0.3">
      <c r="A46" s="73" t="s">
        <v>27</v>
      </c>
      <c r="B46" s="3"/>
      <c r="C46" s="3"/>
      <c r="D46" s="75">
        <f>ROUND(C47*$B$17,2)</f>
        <v>0</v>
      </c>
    </row>
    <row r="47" spans="1:4" x14ac:dyDescent="0.3">
      <c r="A47" s="73"/>
      <c r="B47" s="3" t="s">
        <v>2</v>
      </c>
      <c r="C47" s="19">
        <v>0</v>
      </c>
      <c r="D47" s="64"/>
    </row>
    <row r="48" spans="1:4" x14ac:dyDescent="0.3">
      <c r="A48" s="73"/>
      <c r="B48" s="3"/>
      <c r="C48" s="3"/>
      <c r="D48" s="64"/>
    </row>
    <row r="49" spans="1:4" x14ac:dyDescent="0.3">
      <c r="A49" s="73" t="s">
        <v>28</v>
      </c>
      <c r="B49" s="3"/>
      <c r="C49" s="3"/>
      <c r="D49" s="75">
        <f>ROUND(C50*$B$17,2)</f>
        <v>0</v>
      </c>
    </row>
    <row r="50" spans="1:4" x14ac:dyDescent="0.3">
      <c r="A50" s="73"/>
      <c r="B50" s="3" t="s">
        <v>2</v>
      </c>
      <c r="C50" s="19">
        <v>0</v>
      </c>
      <c r="D50" s="64"/>
    </row>
    <row r="51" spans="1:4" x14ac:dyDescent="0.3">
      <c r="A51" s="73"/>
      <c r="B51" s="3"/>
      <c r="C51" s="20"/>
      <c r="D51" s="64"/>
    </row>
    <row r="52" spans="1:4" x14ac:dyDescent="0.3">
      <c r="A52" s="73" t="s">
        <v>44</v>
      </c>
      <c r="B52" s="3"/>
      <c r="C52" s="19"/>
      <c r="D52" s="75">
        <f>IF(B19&gt;833000,ROUND(833000*C53,2),ROUND(C53*$B$19,2))</f>
        <v>9</v>
      </c>
    </row>
    <row r="53" spans="1:4" x14ac:dyDescent="0.3">
      <c r="A53" s="73"/>
      <c r="B53" s="3" t="s">
        <v>41</v>
      </c>
      <c r="C53" s="19">
        <f>'137'!C46</f>
        <v>1.8006999999999999E-3</v>
      </c>
      <c r="D53" s="75"/>
    </row>
    <row r="54" spans="1:4" x14ac:dyDescent="0.3">
      <c r="A54" s="73" t="s">
        <v>29</v>
      </c>
      <c r="B54" s="3"/>
      <c r="C54" s="3"/>
      <c r="D54" s="75">
        <f>IF($B$19&lt;2001,ROUND($B$19*C55,2),IF($B$19&gt;15000,ROUND(2000*C55,2)+ROUND(13000*C56,2)+ROUND(($B$19-15000)*C57,2),ROUND(2000*C55,2)+ROUND(($B$19-2000)*C56,2)))</f>
        <v>21.87</v>
      </c>
    </row>
    <row r="55" spans="1:4" x14ac:dyDescent="0.3">
      <c r="A55" s="73"/>
      <c r="B55" s="3" t="s">
        <v>3</v>
      </c>
      <c r="C55" s="19">
        <v>4.6499999999999996E-3</v>
      </c>
      <c r="D55" s="64"/>
    </row>
    <row r="56" spans="1:4" x14ac:dyDescent="0.3">
      <c r="A56" s="73"/>
      <c r="B56" s="3" t="s">
        <v>4</v>
      </c>
      <c r="C56" s="19">
        <v>4.1900000000000001E-3</v>
      </c>
      <c r="D56" s="64"/>
    </row>
    <row r="57" spans="1:4" x14ac:dyDescent="0.3">
      <c r="A57" s="73"/>
      <c r="B57" s="3" t="s">
        <v>5</v>
      </c>
      <c r="C57" s="19">
        <v>3.63E-3</v>
      </c>
      <c r="D57" s="64"/>
    </row>
    <row r="58" spans="1:4" x14ac:dyDescent="0.3">
      <c r="A58" s="73"/>
      <c r="B58" s="3"/>
      <c r="C58" s="19"/>
      <c r="D58" s="64"/>
    </row>
    <row r="59" spans="1:4" x14ac:dyDescent="0.3">
      <c r="A59" s="73" t="s">
        <v>55</v>
      </c>
      <c r="B59" s="3"/>
      <c r="C59" s="19"/>
      <c r="D59" s="64">
        <f>ROUND(C60*(D36+D30),2)</f>
        <v>4.5999999999999996</v>
      </c>
    </row>
    <row r="60" spans="1:4" x14ac:dyDescent="0.3">
      <c r="A60" s="73"/>
      <c r="B60" s="77" t="s">
        <v>33</v>
      </c>
      <c r="C60" s="87">
        <f>'137'!C55</f>
        <v>8.3150000000000002E-2</v>
      </c>
      <c r="D60" s="64"/>
    </row>
    <row r="61" spans="1:4" x14ac:dyDescent="0.3">
      <c r="A61" s="73"/>
      <c r="B61" s="77"/>
      <c r="C61" s="61"/>
      <c r="D61" s="64"/>
    </row>
    <row r="62" spans="1:4" x14ac:dyDescent="0.3">
      <c r="A62" s="63" t="s">
        <v>58</v>
      </c>
      <c r="B62" s="77"/>
      <c r="C62" s="87"/>
      <c r="D62" s="88">
        <f>C63*B23</f>
        <v>0</v>
      </c>
    </row>
    <row r="63" spans="1:4" x14ac:dyDescent="0.3">
      <c r="A63" s="63"/>
      <c r="B63" s="3" t="s">
        <v>2</v>
      </c>
      <c r="C63" s="86">
        <v>0</v>
      </c>
      <c r="D63" s="64"/>
    </row>
    <row r="64" spans="1:4" x14ac:dyDescent="0.3">
      <c r="A64" s="63"/>
      <c r="B64" s="3"/>
      <c r="C64" s="86"/>
      <c r="D64" s="64"/>
    </row>
    <row r="65" spans="1:4" x14ac:dyDescent="0.3">
      <c r="A65" s="63" t="s">
        <v>57</v>
      </c>
      <c r="B65" s="3"/>
      <c r="C65" s="61"/>
      <c r="D65" s="64">
        <f>C66</f>
        <v>1.1000000000000001</v>
      </c>
    </row>
    <row r="66" spans="1:4" x14ac:dyDescent="0.3">
      <c r="A66" s="63"/>
      <c r="B66" s="3" t="s">
        <v>1</v>
      </c>
      <c r="C66" s="86">
        <v>1.1000000000000001</v>
      </c>
      <c r="D66" s="64"/>
    </row>
    <row r="67" spans="1:4" x14ac:dyDescent="0.3">
      <c r="A67" s="63"/>
      <c r="B67" s="3"/>
      <c r="C67" s="86"/>
      <c r="D67" s="64"/>
    </row>
    <row r="68" spans="1:4" x14ac:dyDescent="0.3">
      <c r="A68" s="63" t="s">
        <v>59</v>
      </c>
      <c r="B68" s="3"/>
      <c r="C68" s="86"/>
      <c r="D68" s="64">
        <f>ROUND((D30+D36)*C69,2)</f>
        <v>5.85</v>
      </c>
    </row>
    <row r="69" spans="1:4" x14ac:dyDescent="0.3">
      <c r="A69" s="63"/>
      <c r="B69" s="77" t="s">
        <v>33</v>
      </c>
      <c r="C69" s="89">
        <f>'137'!C64</f>
        <v>0.105778</v>
      </c>
      <c r="D69" s="64"/>
    </row>
    <row r="70" spans="1:4" x14ac:dyDescent="0.3">
      <c r="A70" s="63"/>
      <c r="B70" s="3"/>
      <c r="C70" s="19"/>
      <c r="D70" s="64"/>
    </row>
    <row r="71" spans="1:4" x14ac:dyDescent="0.3">
      <c r="A71" s="73" t="s">
        <v>61</v>
      </c>
      <c r="B71" s="3"/>
      <c r="C71" s="19"/>
      <c r="D71" s="64"/>
    </row>
    <row r="72" spans="1:4" x14ac:dyDescent="0.3">
      <c r="A72" s="73"/>
      <c r="B72" s="3"/>
      <c r="C72" s="19"/>
      <c r="D72" s="64"/>
    </row>
    <row r="73" spans="1:4" x14ac:dyDescent="0.3">
      <c r="A73" s="73"/>
      <c r="B73" s="3"/>
      <c r="C73" s="19"/>
      <c r="D73" s="64"/>
    </row>
    <row r="74" spans="1:4" x14ac:dyDescent="0.3">
      <c r="A74" s="73"/>
      <c r="B74" s="3"/>
      <c r="C74" s="19"/>
      <c r="D74" s="64"/>
    </row>
    <row r="75" spans="1:4" x14ac:dyDescent="0.3">
      <c r="A75" s="73"/>
      <c r="B75" s="3"/>
      <c r="C75" s="19"/>
      <c r="D75" s="64"/>
    </row>
    <row r="76" spans="1:4" x14ac:dyDescent="0.3">
      <c r="A76" s="73"/>
      <c r="B76" s="3"/>
      <c r="C76" s="19"/>
      <c r="D76" s="75"/>
    </row>
    <row r="77" spans="1:4" x14ac:dyDescent="0.3">
      <c r="A77" s="63" t="s">
        <v>34</v>
      </c>
      <c r="B77" s="3"/>
      <c r="C77" s="19"/>
      <c r="D77" s="65">
        <f>C78</f>
        <v>6.34</v>
      </c>
    </row>
    <row r="78" spans="1:4" x14ac:dyDescent="0.3">
      <c r="A78" s="66"/>
      <c r="B78" s="3" t="s">
        <v>1</v>
      </c>
      <c r="C78" s="85">
        <f>'137'!C73</f>
        <v>6.34</v>
      </c>
      <c r="D78" s="65"/>
    </row>
    <row r="79" spans="1:4" x14ac:dyDescent="0.3">
      <c r="A79" s="73"/>
      <c r="B79" s="3"/>
      <c r="C79" s="19"/>
      <c r="D79" s="75"/>
    </row>
    <row r="80" spans="1:4" x14ac:dyDescent="0.3">
      <c r="A80" s="73" t="s">
        <v>30</v>
      </c>
      <c r="B80" s="3"/>
      <c r="C80" s="3"/>
      <c r="D80" s="75">
        <f>IF($B$19&lt;1501,ROUND($B$19*C82,2)+ROUND($B$20*C81,2),IF($B$19&gt;1500,ROUND(1500*C82,2)+ROUND(($B$19-1500)*C83,2)+ROUND(C81*$B$20,2)))</f>
        <v>13.91</v>
      </c>
    </row>
    <row r="81" spans="1:4" x14ac:dyDescent="0.3">
      <c r="A81" s="73"/>
      <c r="B81" s="3" t="s">
        <v>10</v>
      </c>
      <c r="C81" s="19">
        <v>1.89849879606689</v>
      </c>
      <c r="D81" s="75"/>
    </row>
    <row r="82" spans="1:4" x14ac:dyDescent="0.3">
      <c r="A82" s="73"/>
      <c r="B82" s="3" t="s">
        <v>12</v>
      </c>
      <c r="C82" s="19">
        <v>6.9340000000000005E-4</v>
      </c>
      <c r="D82" s="75"/>
    </row>
    <row r="83" spans="1:4" x14ac:dyDescent="0.3">
      <c r="A83" s="73"/>
      <c r="B83" s="3" t="s">
        <v>16</v>
      </c>
      <c r="C83" s="19">
        <v>6.9340000000000005E-4</v>
      </c>
      <c r="D83" s="75"/>
    </row>
    <row r="84" spans="1:4" x14ac:dyDescent="0.3">
      <c r="A84" s="73"/>
      <c r="B84" s="3"/>
      <c r="C84" s="19"/>
      <c r="D84" s="75"/>
    </row>
    <row r="85" spans="1:4" x14ac:dyDescent="0.3">
      <c r="A85" s="63" t="s">
        <v>43</v>
      </c>
      <c r="B85" s="3"/>
      <c r="C85" s="19"/>
      <c r="D85" s="75">
        <f>ROUND((D30+D36)*C86,2)</f>
        <v>-1.07</v>
      </c>
    </row>
    <row r="86" spans="1:4" x14ac:dyDescent="0.3">
      <c r="A86" s="63"/>
      <c r="B86" s="3" t="s">
        <v>33</v>
      </c>
      <c r="C86" s="61">
        <f>'137'!C81</f>
        <v>-1.9311999999999999E-2</v>
      </c>
      <c r="D86" s="75"/>
    </row>
    <row r="87" spans="1:4" x14ac:dyDescent="0.3">
      <c r="A87" s="63"/>
      <c r="B87" s="77"/>
      <c r="C87" s="19"/>
      <c r="D87" s="75"/>
    </row>
    <row r="88" spans="1:4" x14ac:dyDescent="0.3">
      <c r="A88" s="74" t="s">
        <v>32</v>
      </c>
      <c r="B88" s="21"/>
      <c r="C88" s="3"/>
      <c r="D88" s="84">
        <f>SUM(D33:D85)</f>
        <v>117.07</v>
      </c>
    </row>
    <row r="89" spans="1:4" x14ac:dyDescent="0.3">
      <c r="A89" s="74"/>
      <c r="B89" s="21"/>
      <c r="C89" s="3"/>
      <c r="D89" s="75"/>
    </row>
    <row r="90" spans="1:4" ht="16.2" thickBot="1" x14ac:dyDescent="0.35">
      <c r="A90" s="78" t="s">
        <v>50</v>
      </c>
      <c r="B90" s="79"/>
      <c r="C90" s="80"/>
      <c r="D90" s="90">
        <f>SUM(D88+D30)</f>
        <v>145.56</v>
      </c>
    </row>
    <row r="92" spans="1:4" ht="16.2" thickBot="1" x14ac:dyDescent="0.35">
      <c r="A92" s="59" t="s">
        <v>19</v>
      </c>
      <c r="B92" s="23"/>
      <c r="C92" s="24"/>
      <c r="D92" s="48"/>
    </row>
    <row r="93" spans="1:4" ht="16.2" thickTop="1" x14ac:dyDescent="0.3">
      <c r="A93" s="60" t="s">
        <v>31</v>
      </c>
      <c r="B93" s="25"/>
      <c r="C93" s="25"/>
      <c r="D93" s="91">
        <f>IF($B$19&lt;1501,ROUND($B$19*C95,2)+ROUND($B$19*C94,2),IF($B$19&gt;125000,ROUND(1500*C95,2)+ROUND(123500*C96,2)+ROUND(($B$19-125000)*C97,2)+ROUND($B$18*C94,2),ROUND(1500*C95,2)+ROUND(($B$19-1500)*C96,2)+ROUND(C94*$B$18,2)))</f>
        <v>540.36</v>
      </c>
    </row>
    <row r="94" spans="1:4" x14ac:dyDescent="0.3">
      <c r="A94" s="26"/>
      <c r="B94" s="3" t="s">
        <v>10</v>
      </c>
      <c r="C94" s="19">
        <v>0</v>
      </c>
      <c r="D94" s="50"/>
    </row>
    <row r="95" spans="1:4" x14ac:dyDescent="0.3">
      <c r="A95" s="27"/>
      <c r="B95" s="3" t="s">
        <v>12</v>
      </c>
      <c r="C95" s="19">
        <v>0.1080709</v>
      </c>
      <c r="D95" s="50"/>
    </row>
    <row r="96" spans="1:4" x14ac:dyDescent="0.3">
      <c r="A96" s="27"/>
      <c r="B96" s="3" t="s">
        <v>13</v>
      </c>
      <c r="C96" s="19">
        <v>0.1080709</v>
      </c>
      <c r="D96" s="50"/>
    </row>
    <row r="97" spans="1:4" x14ac:dyDescent="0.3">
      <c r="A97" s="27"/>
      <c r="B97" s="3" t="s">
        <v>14</v>
      </c>
      <c r="C97" s="19">
        <v>0.1080709</v>
      </c>
      <c r="D97" s="50"/>
    </row>
    <row r="98" spans="1:4" x14ac:dyDescent="0.3">
      <c r="A98" s="27"/>
      <c r="B98" s="21"/>
      <c r="C98" s="3"/>
      <c r="D98" s="50"/>
    </row>
    <row r="99" spans="1:4" ht="16.2" thickBot="1" x14ac:dyDescent="0.35">
      <c r="A99" s="28" t="s">
        <v>21</v>
      </c>
      <c r="B99" s="29"/>
      <c r="C99" s="30"/>
      <c r="D99" s="51">
        <f>SUM(D93)</f>
        <v>540.36</v>
      </c>
    </row>
    <row r="100" spans="1:4" ht="16.8" thickTop="1" thickBot="1" x14ac:dyDescent="0.35">
      <c r="A100" s="32" t="s">
        <v>20</v>
      </c>
      <c r="B100" s="92"/>
      <c r="C100" s="92"/>
      <c r="D100" s="53">
        <f>SUM(D99,D90)</f>
        <v>685.92000000000007</v>
      </c>
    </row>
    <row r="101" spans="1:4" ht="16.8" thickTop="1" thickBot="1" x14ac:dyDescent="0.35">
      <c r="A101" s="16"/>
      <c r="B101" s="16"/>
      <c r="C101" s="16"/>
      <c r="D101" s="16"/>
    </row>
    <row r="102" spans="1:4" ht="16.8" thickTop="1" thickBot="1" x14ac:dyDescent="0.35">
      <c r="A102" s="21"/>
      <c r="B102" s="93" t="s">
        <v>51</v>
      </c>
      <c r="C102" s="94"/>
      <c r="D102" s="95"/>
    </row>
    <row r="103" spans="1:4" ht="16.2" thickTop="1" x14ac:dyDescent="0.3">
      <c r="A103" s="3"/>
      <c r="B103" s="33"/>
      <c r="C103" s="34"/>
      <c r="D103" s="54"/>
    </row>
    <row r="104" spans="1:4" x14ac:dyDescent="0.3">
      <c r="A104" s="3"/>
      <c r="B104" s="35" t="s">
        <v>49</v>
      </c>
      <c r="C104" s="36"/>
      <c r="D104" s="55"/>
    </row>
    <row r="105" spans="1:4" x14ac:dyDescent="0.3">
      <c r="A105" s="3"/>
      <c r="B105" s="37" t="s">
        <v>7</v>
      </c>
      <c r="C105" s="3"/>
      <c r="D105" s="56">
        <f>D30</f>
        <v>28.49</v>
      </c>
    </row>
    <row r="106" spans="1:4" x14ac:dyDescent="0.3">
      <c r="A106" s="3"/>
      <c r="B106" s="37" t="s">
        <v>18</v>
      </c>
      <c r="C106" s="3"/>
      <c r="D106" s="56">
        <f>D88</f>
        <v>117.07</v>
      </c>
    </row>
    <row r="107" spans="1:4" x14ac:dyDescent="0.3">
      <c r="A107" s="3"/>
      <c r="B107" s="38" t="s">
        <v>52</v>
      </c>
      <c r="C107" s="3"/>
      <c r="D107" s="57">
        <f>D90</f>
        <v>145.56</v>
      </c>
    </row>
    <row r="108" spans="1:4" x14ac:dyDescent="0.3">
      <c r="A108" s="3"/>
      <c r="B108" s="39"/>
      <c r="C108" s="3"/>
      <c r="D108" s="57"/>
    </row>
    <row r="109" spans="1:4" x14ac:dyDescent="0.3">
      <c r="A109" s="21"/>
      <c r="B109" s="39" t="s">
        <v>19</v>
      </c>
      <c r="C109" s="3"/>
      <c r="D109" s="55"/>
    </row>
    <row r="110" spans="1:4" ht="16.2" thickBot="1" x14ac:dyDescent="0.35">
      <c r="A110" s="21"/>
      <c r="B110" s="40" t="s">
        <v>21</v>
      </c>
      <c r="C110" s="41"/>
      <c r="D110" s="58">
        <f>D99</f>
        <v>540.36</v>
      </c>
    </row>
    <row r="111" spans="1:4" ht="16.2" thickTop="1" x14ac:dyDescent="0.3"/>
  </sheetData>
  <sheetProtection algorithmName="SHA-512" hashValue="fz+5zv/4bfXMWRWzeHkKTF7YMEMLBRfAkvNN0BHB1EdMebOTWG5939vtxy1GcFzRUo4shektsAvyCLz4+MoE5w==" saltValue="u038Imthox+PDWeJvPA79A==" spinCount="100000" sheet="1" selectLockedCells="1"/>
  <mergeCells count="10">
    <mergeCell ref="B100:C100"/>
    <mergeCell ref="B102:D102"/>
    <mergeCell ref="A27:D27"/>
    <mergeCell ref="A7:D7"/>
    <mergeCell ref="A1:D1"/>
    <mergeCell ref="A2:D2"/>
    <mergeCell ref="A5:D5"/>
    <mergeCell ref="A6:D6"/>
    <mergeCell ref="A14:D14"/>
    <mergeCell ref="A15:D15"/>
  </mergeCells>
  <conditionalFormatting sqref="C85:C87">
    <cfRule type="cellIs" dxfId="10" priority="6" operator="lessThan">
      <formula>0</formula>
    </cfRule>
  </conditionalFormatting>
  <conditionalFormatting sqref="C1:D6 C8:D25 C26">
    <cfRule type="cellIs" dxfId="9" priority="22" operator="lessThan">
      <formula>0</formula>
    </cfRule>
  </conditionalFormatting>
  <conditionalFormatting sqref="C27:D61 C92:D92 C93 C94:D101">
    <cfRule type="cellIs" dxfId="8" priority="12" operator="lessThan">
      <formula>0</formula>
    </cfRule>
  </conditionalFormatting>
  <conditionalFormatting sqref="C30:D61 C76:D76 C79:D84 D85:D87 C88:D90">
    <cfRule type="cellIs" dxfId="7" priority="9" operator="lessThan">
      <formula>0</formula>
    </cfRule>
  </conditionalFormatting>
  <conditionalFormatting sqref="C62:D75">
    <cfRule type="cellIs" dxfId="6" priority="4" operator="lessThan">
      <formula>0</formula>
    </cfRule>
  </conditionalFormatting>
  <conditionalFormatting sqref="C76:D76 C79:D84 D85:D87 C88:D90">
    <cfRule type="cellIs" dxfId="5" priority="10" operator="lessThan">
      <formula>0</formula>
    </cfRule>
  </conditionalFormatting>
  <conditionalFormatting sqref="C77:D78">
    <cfRule type="cellIs" dxfId="4" priority="7" operator="lessThan">
      <formula>0</formula>
    </cfRule>
  </conditionalFormatting>
  <conditionalFormatting sqref="C92:D92 C93 C94:D98">
    <cfRule type="cellIs" dxfId="3" priority="2" operator="lessThan">
      <formula>0</formula>
    </cfRule>
  </conditionalFormatting>
  <conditionalFormatting sqref="C103:D65532">
    <cfRule type="cellIs" dxfId="2" priority="3" operator="lessThan">
      <formula>0</formula>
    </cfRule>
  </conditionalFormatting>
  <conditionalFormatting sqref="D26">
    <cfRule type="cellIs" dxfId="1" priority="16" operator="lessThan">
      <formula>0</formula>
    </cfRule>
  </conditionalFormatting>
  <conditionalFormatting sqref="D93">
    <cfRule type="cellIs" dxfId="0" priority="1" operator="lessThan">
      <formula>0</formula>
    </cfRule>
  </conditionalFormatting>
  <dataValidations count="2">
    <dataValidation type="decimal" errorStyle="information" allowBlank="1" showInputMessage="1" showErrorMessage="1" errorTitle="Invalid entry" error="This cell must contain a positive number._x000a_" sqref="B17:B18 B20:B21" xr:uid="{00000000-0002-0000-0100-000000000000}">
      <formula1>0</formula1>
      <formula2>100000000</formula2>
    </dataValidation>
    <dataValidation type="decimal" errorStyle="information" allowBlank="1" showInputMessage="1" showErrorMessage="1" errorTitle="Invalid Entry" error="This cell must contain a positive number." sqref="B19" xr:uid="{00000000-0002-0000-0100-000001000000}">
      <formula1>0</formula1>
      <formula2>100000000</formula2>
    </dataValidation>
  </dataValidations>
  <printOptions horizontalCentered="1"/>
  <pageMargins left="0.7" right="0.7" top="0.75" bottom="0.75" header="0.3" footer="0.3"/>
  <pageSetup scale="76" orientation="portrait" r:id="rId1"/>
  <headerFooter>
    <oddHeader xml:space="preserve">&amp;L&amp;G&amp;R&amp;"Arial,Regular"Effective April 1, 2024
</oddHeader>
    <oddFooter>&amp;L&amp;"Arial,Regular"Worksheet valid for calculating bills starting on April1, 2024.  This billing worksheet does not take into account the maximum billing charges for this rate structure.</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4e94169-021c-4578-be09-6006b4dea068" xsi:nil="true"/>
    <TaxCatchAll xmlns="8e537545-18ac-42cc-8f2a-89499299f0e1" xsi:nil="true"/>
    <lcf76f155ced4ddcb4097134ff3c332f xmlns="64e94169-021c-4578-be09-6006b4dea06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35DA127EFEA643A071466D67462D58" ma:contentTypeVersion="18" ma:contentTypeDescription="Create a new document." ma:contentTypeScope="" ma:versionID="bb4d01d89fac8602414c897f6783ecea">
  <xsd:schema xmlns:xsd="http://www.w3.org/2001/XMLSchema" xmlns:xs="http://www.w3.org/2001/XMLSchema" xmlns:p="http://schemas.microsoft.com/office/2006/metadata/properties" xmlns:ns2="64e94169-021c-4578-be09-6006b4dea068" xmlns:ns3="8e537545-18ac-42cc-8f2a-89499299f0e1" targetNamespace="http://schemas.microsoft.com/office/2006/metadata/properties" ma:root="true" ma:fieldsID="adac88aae904a8fc569624feeb3c92b0" ns2:_="" ns3:_="">
    <xsd:import namespace="64e94169-021c-4578-be09-6006b4dea068"/>
    <xsd:import namespace="8e537545-18ac-42cc-8f2a-89499299f0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_Flow_SignoffStatu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94169-021c-4578-be09-6006b4dea0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d4df7da-c195-4679-b09b-159ed35ba1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537545-18ac-42cc-8f2a-89499299f0e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5159a9-6d9c-4454-b472-74cf3cb3e2d5}" ma:internalName="TaxCatchAll" ma:showField="CatchAllData" ma:web="8e537545-18ac-42cc-8f2a-89499299f0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35F136-E2EF-4B85-9581-66E970CA866A}">
  <ds:schemaRef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http://purl.org/dc/terms/"/>
    <ds:schemaRef ds:uri="http://schemas.microsoft.com/office/2006/metadata/properties"/>
    <ds:schemaRef ds:uri="http://schemas.microsoft.com/office/infopath/2007/PartnerControls"/>
    <ds:schemaRef ds:uri="8e537545-18ac-42cc-8f2a-89499299f0e1"/>
    <ds:schemaRef ds:uri="64e94169-021c-4578-be09-6006b4dea068"/>
  </ds:schemaRefs>
</ds:datastoreItem>
</file>

<file path=customXml/itemProps2.xml><?xml version="1.0" encoding="utf-8"?>
<ds:datastoreItem xmlns:ds="http://schemas.openxmlformats.org/officeDocument/2006/customXml" ds:itemID="{D553BB79-B52B-4BCD-B6F1-095818CE7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94169-021c-4578-be09-6006b4dea068"/>
    <ds:schemaRef ds:uri="8e537545-18ac-42cc-8f2a-89499299f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4FF9B8-E3B0-4FDC-AD3E-FA6A3E20BD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137</vt:lpstr>
      <vt:lpstr>137 - Net Metering</vt:lpstr>
      <vt:lpstr>'137'!Print_Area</vt:lpstr>
      <vt:lpstr>'137 - Net Metering'!Print_Area</vt:lpstr>
    </vt:vector>
  </TitlesOfParts>
  <Company>The Dayton Power and Light Company,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Blevins</dc:creator>
  <cp:lastModifiedBy>Sakshee Vaidya</cp:lastModifiedBy>
  <cp:lastPrinted>2024-01-02T14:55:31Z</cp:lastPrinted>
  <dcterms:created xsi:type="dcterms:W3CDTF">2010-05-07T14:07:10Z</dcterms:created>
  <dcterms:modified xsi:type="dcterms:W3CDTF">2024-03-29T13:26:30Z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0x010100F335DA127EFEA643A071466D67462D58</vt:lpwstr>
  </property>
  <property fmtid="{D5CDD505-2E9C-101B-9397-08002B2CF9AE}" pid="3" name="MediaServiceImageTags">
    <vt:lpwstr/>
  </property>
</Properties>
</file>