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bres0.dplinc.com\Corp_Data\Bill Calculators\Bill Calculator Guides\April 1, 2024\"/>
    </mc:Choice>
  </mc:AlternateContent>
  <xr:revisionPtr revIDLastSave="0" documentId="13_ncr:1_{38C07EE8-3442-4BC5-80C7-8D5C8EAC3D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41 S" sheetId="4" r:id="rId1"/>
    <sheet name="141 S - Net Metering" sheetId="1" r:id="rId2"/>
    <sheet name="Sheet2" sheetId="2" state="hidden" r:id="rId3"/>
    <sheet name="Sheet3" sheetId="3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1" l="1"/>
  <c r="D59" i="1"/>
  <c r="D56" i="4"/>
  <c r="D53" i="4"/>
  <c r="B70" i="1" l="1"/>
  <c r="D31" i="4"/>
  <c r="C77" i="1"/>
  <c r="A65" i="1"/>
  <c r="D43" i="4"/>
  <c r="C86" i="1"/>
  <c r="C85" i="1"/>
  <c r="C74" i="1"/>
  <c r="C70" i="1"/>
  <c r="D69" i="1" s="1"/>
  <c r="C54" i="1"/>
  <c r="C50" i="1"/>
  <c r="C51" i="1"/>
  <c r="C49" i="1"/>
  <c r="C47" i="1"/>
  <c r="C44" i="1"/>
  <c r="C41" i="1"/>
  <c r="C38" i="1"/>
  <c r="C35" i="1"/>
  <c r="D34" i="1" s="1"/>
  <c r="C32" i="1"/>
  <c r="C29" i="1"/>
  <c r="C26" i="1"/>
  <c r="D25" i="1" s="1"/>
  <c r="B18" i="1"/>
  <c r="D56" i="1" s="1"/>
  <c r="D81" i="4"/>
  <c r="D85" i="4" s="1"/>
  <c r="D70" i="4"/>
  <c r="D66" i="4"/>
  <c r="D45" i="4"/>
  <c r="D40" i="4"/>
  <c r="D37" i="4"/>
  <c r="D34" i="4"/>
  <c r="D28" i="4"/>
  <c r="D22" i="4"/>
  <c r="D92" i="4" l="1"/>
  <c r="D59" i="4"/>
  <c r="D43" i="1"/>
  <c r="D73" i="1"/>
  <c r="D31" i="1"/>
  <c r="D53" i="1" s="1"/>
  <c r="D37" i="1"/>
  <c r="D40" i="1"/>
  <c r="D46" i="1"/>
  <c r="D48" i="1"/>
  <c r="D84" i="1"/>
  <c r="D88" i="1" s="1"/>
  <c r="D22" i="1" s="1"/>
  <c r="D25" i="4"/>
  <c r="D97" i="4"/>
  <c r="D19" i="4"/>
  <c r="D73" i="4"/>
  <c r="D95" i="1"/>
  <c r="D50" i="4"/>
  <c r="D76" i="4" l="1"/>
  <c r="D78" i="4" s="1"/>
  <c r="D94" i="4" s="1"/>
  <c r="D62" i="1"/>
  <c r="D28" i="1"/>
  <c r="D76" i="1"/>
  <c r="D100" i="1"/>
  <c r="D79" i="1" l="1"/>
  <c r="D81" i="1" s="1"/>
  <c r="D90" i="1" s="1"/>
  <c r="D20" i="1" s="1"/>
  <c r="D93" i="4"/>
  <c r="D87" i="4"/>
  <c r="D17" i="4" s="1"/>
  <c r="D97" i="1" l="1"/>
  <c r="D96" i="1"/>
</calcChain>
</file>

<file path=xl/sharedStrings.xml><?xml version="1.0" encoding="utf-8"?>
<sst xmlns="http://schemas.openxmlformats.org/spreadsheetml/2006/main" count="129" uniqueCount="58">
  <si>
    <t>You will need:</t>
  </si>
  <si>
    <t xml:space="preserve">kWh Usage:    </t>
  </si>
  <si>
    <t xml:space="preserve">A flat fee per billing period of </t>
  </si>
  <si>
    <t>Multiply the Billed kWh by</t>
  </si>
  <si>
    <t xml:space="preserve">0 – 2,000 kWh multiply by </t>
  </si>
  <si>
    <t xml:space="preserve">2,001 – 15,000 kWh multiply by </t>
  </si>
  <si>
    <t xml:space="preserve">over 15,000 kWh multiply by </t>
  </si>
  <si>
    <t>0 – 750 kWh multiply by</t>
  </si>
  <si>
    <t xml:space="preserve">all kWh over 750 multiply by </t>
  </si>
  <si>
    <t xml:space="preserve">Customer Charge (D18):  </t>
  </si>
  <si>
    <t>Customer Charge</t>
  </si>
  <si>
    <t>Residential (Rate 141 - Summer)</t>
  </si>
  <si>
    <t xml:space="preserve">Other Delivery Charges: </t>
  </si>
  <si>
    <t xml:space="preserve">Other Delivery Charges Total: </t>
  </si>
  <si>
    <t xml:space="preserve">Supply Charges: </t>
  </si>
  <si>
    <t xml:space="preserve">Supply Total: </t>
  </si>
  <si>
    <t xml:space="preserve">Total Bill: </t>
  </si>
  <si>
    <t>Other Delivery Charges</t>
  </si>
  <si>
    <t>Supply Total:</t>
  </si>
  <si>
    <t>Total Bill</t>
  </si>
  <si>
    <t>Price - To - Compare</t>
  </si>
  <si>
    <t>Input usage below</t>
  </si>
  <si>
    <t>Multiply all Billed kWh by</t>
  </si>
  <si>
    <r>
      <t>To verify that your bill does not span across both a summer and a winter month (i.e. billing period of October 15</t>
    </r>
    <r>
      <rPr>
        <vertAlign val="superscript"/>
        <sz val="12"/>
        <color indexed="8"/>
        <rFont val="Arial"/>
        <family val="2"/>
      </rPr>
      <t>th</t>
    </r>
    <r>
      <rPr>
        <sz val="12"/>
        <color indexed="8"/>
        <rFont val="Arial"/>
        <family val="2"/>
      </rPr>
      <t xml:space="preserve"> – November 15</t>
    </r>
    <r>
      <rPr>
        <vertAlign val="superscript"/>
        <sz val="12"/>
        <color indexed="8"/>
        <rFont val="Arial"/>
        <family val="2"/>
      </rPr>
      <t>th</t>
    </r>
    <r>
      <rPr>
        <sz val="12"/>
        <color indexed="8"/>
        <rFont val="Arial"/>
        <family val="2"/>
      </rPr>
      <t>).  This rate worksheet will not correctly prorate bills that span across a summer and a winter month.</t>
    </r>
  </si>
  <si>
    <r>
      <t>Total Distribution Charges</t>
    </r>
    <r>
      <rPr>
        <sz val="12"/>
        <color indexed="8"/>
        <rFont val="Arial"/>
        <family val="2"/>
      </rPr>
      <t xml:space="preserve"> </t>
    </r>
  </si>
  <si>
    <t xml:space="preserve">    Energy Charge (D18):</t>
  </si>
  <si>
    <t xml:space="preserve">    Universal Service Rider (D28):</t>
  </si>
  <si>
    <t xml:space="preserve">    Energy Efficiency Rider (D38):</t>
  </si>
  <si>
    <t xml:space="preserve">    Economic Development Rider (D39):</t>
  </si>
  <si>
    <t xml:space="preserve">    Excise Tax (D33):</t>
  </si>
  <si>
    <t xml:space="preserve">    Transmission Cost Recovery Rider - Non-bypassable (T8):</t>
  </si>
  <si>
    <t xml:space="preserve">    Standard Offer Rate (G10):</t>
  </si>
  <si>
    <t xml:space="preserve">For Rate 141, you will need to find the total electric usage for the month. </t>
  </si>
  <si>
    <t xml:space="preserve">% of Base Distribution </t>
  </si>
  <si>
    <t xml:space="preserve">    Storm Cost Recovery Rider (D30):</t>
  </si>
  <si>
    <t>Residential (Rate 141 - Summer) - Net Metering</t>
  </si>
  <si>
    <t xml:space="preserve">kWh Actual:    </t>
  </si>
  <si>
    <t>kWh Received:</t>
  </si>
  <si>
    <t>kWh Net:</t>
  </si>
  <si>
    <t>As a Net Metering customer you will enter Actual and Received kWh located on your bill.</t>
  </si>
  <si>
    <t xml:space="preserve">    Tax Credit Savings Rider (D41):</t>
  </si>
  <si>
    <t xml:space="preserve">    Legacy Generation Rider (D40):</t>
  </si>
  <si>
    <t>How to Calculate Your AES Ohio Bill</t>
  </si>
  <si>
    <t>To verify you are on Rate 141-  find the section near the middle of your AES Ohio bill labeled “Usage Detail", below which the column titled "Rate"  should read 141.</t>
  </si>
  <si>
    <t>Your monthly kWh Usage is to the left of your Rate number on your AES Ohio bill. See example below.</t>
  </si>
  <si>
    <t>To verify that your bill is within a 25 to 35 day billing cycle (also on your AES Ohio bill) - under "Usage Detail" find the column titled "Billing Days".  NOTE:  this rate worksheet will not correctly calculate bills outside of the 25 to 35 day billing cycle. Net Metering customers see second tab for rates.</t>
  </si>
  <si>
    <t xml:space="preserve">AES Ohio Delivery Charges: </t>
  </si>
  <si>
    <t>How charges appear on AES Ohio's bill</t>
  </si>
  <si>
    <t>AES Ohio Delivery Total:</t>
  </si>
  <si>
    <t>To verify that your bill is within a 25 to 35 day billing cycle (also on your AES Ohio bill) - under "Usage Detail" find the column titled "Billing Days".  NOTE:  this rate worksheet will not correctly calculate bills outside of the 25 to 35 day billing cycle.</t>
  </si>
  <si>
    <t xml:space="preserve">    Solar Generation Fund Rider (D27):</t>
  </si>
  <si>
    <t xml:space="preserve">    Infrastructure Investment Rider (D29):</t>
  </si>
  <si>
    <t>A flat fee per period of</t>
  </si>
  <si>
    <t xml:space="preserve">    Regulatory Compliance Rider (D31):</t>
  </si>
  <si>
    <t xml:space="preserve">    Customer Programs Rider (D37):</t>
  </si>
  <si>
    <t xml:space="preserve">    Proactive Reliability Optimization Rider (D32):</t>
  </si>
  <si>
    <t xml:space="preserve">    Distribution Investment Rider (D36):</t>
  </si>
  <si>
    <t xml:space="preserve">    Reserved for future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</si>
</sst>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0"/>
    <numFmt numFmtId="166" formatCode="_(&quot;$&quot;* #,##0.0000000_);_(&quot;$&quot;* \(#,##0.0000000\);_(&quot;$&quot;* &quot;-&quot;??_);_(@_)"/>
    <numFmt numFmtId="167" formatCode="_(* #,##0_);_(* \(#,##0\);_(* &quot;-&quot;??_);_(@_)"/>
    <numFmt numFmtId="168" formatCode="#,##0;[Red]#,##0"/>
    <numFmt numFmtId="169" formatCode="0.000"/>
    <numFmt numFmtId="170" formatCode="0.00000%"/>
    <numFmt numFmtId="171" formatCode="#,##0.0;[Red]#,##0.0"/>
    <numFmt numFmtId="172" formatCode="0.000%"/>
    <numFmt numFmtId="173" formatCode="0.0000%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70C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6"/>
      <color rgb="FF0054A4"/>
      <name val="Arial"/>
      <family val="2"/>
    </font>
    <font>
      <b/>
      <sz val="14"/>
      <color rgb="FF0054A4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1973E"/>
        <bgColor indexed="64"/>
      </patternFill>
    </fill>
    <fill>
      <patternFill patternType="solid">
        <fgColor rgb="FF0054A4"/>
        <bgColor indexed="64"/>
      </patternFill>
    </fill>
  </fills>
  <borders count="3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/>
      <right/>
      <top style="thick">
        <color rgb="FF61973E"/>
      </top>
      <bottom/>
      <diagonal/>
    </border>
    <border>
      <left/>
      <right style="thick">
        <color rgb="FF61973E"/>
      </right>
      <top style="thick">
        <color rgb="FF61973E"/>
      </top>
      <bottom/>
      <diagonal/>
    </border>
    <border>
      <left style="thick">
        <color rgb="FF61973E"/>
      </left>
      <right/>
      <top/>
      <bottom/>
      <diagonal/>
    </border>
    <border>
      <left/>
      <right style="thick">
        <color rgb="FF61973E"/>
      </right>
      <top/>
      <bottom/>
      <diagonal/>
    </border>
    <border>
      <left style="thick">
        <color rgb="FF61973E"/>
      </left>
      <right/>
      <top/>
      <bottom style="thick">
        <color rgb="FF61973E"/>
      </bottom>
      <diagonal/>
    </border>
    <border>
      <left/>
      <right/>
      <top/>
      <bottom style="thick">
        <color rgb="FF61973E"/>
      </bottom>
      <diagonal/>
    </border>
    <border>
      <left/>
      <right style="thick">
        <color rgb="FF61973E"/>
      </right>
      <top/>
      <bottom style="thick">
        <color rgb="FF61973E"/>
      </bottom>
      <diagonal/>
    </border>
    <border>
      <left style="thick">
        <color rgb="FF0054A4"/>
      </left>
      <right/>
      <top/>
      <bottom/>
      <diagonal/>
    </border>
    <border>
      <left/>
      <right style="thick">
        <color rgb="FF0054A4"/>
      </right>
      <top/>
      <bottom/>
      <diagonal/>
    </border>
    <border>
      <left style="thick">
        <color rgb="FF0054A4"/>
      </left>
      <right/>
      <top/>
      <bottom style="thick">
        <color rgb="FF0054A4"/>
      </bottom>
      <diagonal/>
    </border>
    <border>
      <left/>
      <right/>
      <top/>
      <bottom style="thick">
        <color rgb="FF0054A4"/>
      </bottom>
      <diagonal/>
    </border>
    <border>
      <left/>
      <right style="thick">
        <color rgb="FF0054A4"/>
      </right>
      <top/>
      <bottom style="thick">
        <color rgb="FF0054A4"/>
      </bottom>
      <diagonal/>
    </border>
    <border>
      <left style="thick">
        <color rgb="FF61973E"/>
      </left>
      <right/>
      <top style="thick">
        <color rgb="FF61973E"/>
      </top>
      <bottom/>
      <diagonal/>
    </border>
    <border>
      <left style="thick">
        <color rgb="FF0054A4"/>
      </left>
      <right/>
      <top style="thick">
        <color rgb="FF0054A4"/>
      </top>
      <bottom/>
      <diagonal/>
    </border>
    <border>
      <left/>
      <right/>
      <top style="thick">
        <color rgb="FF0054A4"/>
      </top>
      <bottom/>
      <diagonal/>
    </border>
    <border>
      <left/>
      <right style="thick">
        <color rgb="FF0054A4"/>
      </right>
      <top style="thick">
        <color rgb="FF0054A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168" fontId="5" fillId="0" borderId="11" xfId="1" applyNumberFormat="1" applyFont="1" applyBorder="1" applyProtection="1">
      <protection locked="0"/>
    </xf>
    <xf numFmtId="167" fontId="11" fillId="0" borderId="0" xfId="1" applyNumberFormat="1" applyFont="1" applyBorder="1"/>
    <xf numFmtId="167" fontId="6" fillId="2" borderId="0" xfId="1" applyNumberFormat="1" applyFont="1" applyFill="1" applyBorder="1"/>
    <xf numFmtId="0" fontId="9" fillId="2" borderId="0" xfId="0" applyFont="1" applyFill="1"/>
    <xf numFmtId="167" fontId="6" fillId="0" borderId="0" xfId="1" applyNumberFormat="1" applyFont="1" applyBorder="1"/>
    <xf numFmtId="0" fontId="10" fillId="0" borderId="1" xfId="0" applyFont="1" applyBorder="1"/>
    <xf numFmtId="0" fontId="9" fillId="0" borderId="1" xfId="0" applyFont="1" applyBorder="1"/>
    <xf numFmtId="0" fontId="9" fillId="0" borderId="2" xfId="0" applyFont="1" applyBorder="1"/>
    <xf numFmtId="44" fontId="9" fillId="0" borderId="0" xfId="4" applyFont="1" applyFill="1" applyBorder="1"/>
    <xf numFmtId="164" fontId="9" fillId="0" borderId="3" xfId="0" applyNumberFormat="1" applyFont="1" applyBorder="1"/>
    <xf numFmtId="166" fontId="9" fillId="0" borderId="0" xfId="4" applyNumberFormat="1" applyFont="1" applyFill="1" applyBorder="1"/>
    <xf numFmtId="166" fontId="9" fillId="0" borderId="0" xfId="0" applyNumberFormat="1" applyFont="1"/>
    <xf numFmtId="0" fontId="10" fillId="0" borderId="0" xfId="0" applyFont="1"/>
    <xf numFmtId="0" fontId="12" fillId="0" borderId="0" xfId="0" applyFont="1"/>
    <xf numFmtId="44" fontId="10" fillId="0" borderId="5" xfId="4" applyFont="1" applyBorder="1"/>
    <xf numFmtId="44" fontId="9" fillId="0" borderId="0" xfId="4" applyFont="1"/>
    <xf numFmtId="0" fontId="13" fillId="3" borderId="0" xfId="0" applyFont="1" applyFill="1"/>
    <xf numFmtId="0" fontId="14" fillId="3" borderId="0" xfId="0" applyFont="1" applyFill="1"/>
    <xf numFmtId="164" fontId="14" fillId="3" borderId="0" xfId="0" applyNumberFormat="1" applyFont="1" applyFill="1"/>
    <xf numFmtId="0" fontId="9" fillId="0" borderId="12" xfId="0" applyFont="1" applyBorder="1"/>
    <xf numFmtId="44" fontId="9" fillId="0" borderId="13" xfId="4" applyFont="1" applyBorder="1"/>
    <xf numFmtId="0" fontId="9" fillId="0" borderId="14" xfId="0" applyFont="1" applyBorder="1"/>
    <xf numFmtId="164" fontId="9" fillId="0" borderId="15" xfId="0" applyNumberFormat="1" applyFont="1" applyBorder="1"/>
    <xf numFmtId="0" fontId="10" fillId="0" borderId="14" xfId="0" applyFont="1" applyBorder="1"/>
    <xf numFmtId="0" fontId="10" fillId="0" borderId="16" xfId="0" applyFont="1" applyBorder="1"/>
    <xf numFmtId="0" fontId="10" fillId="0" borderId="17" xfId="0" applyFont="1" applyBorder="1"/>
    <xf numFmtId="0" fontId="9" fillId="0" borderId="17" xfId="0" applyFont="1" applyBorder="1"/>
    <xf numFmtId="44" fontId="10" fillId="0" borderId="18" xfId="4" applyFont="1" applyBorder="1"/>
    <xf numFmtId="0" fontId="10" fillId="0" borderId="6" xfId="0" applyFont="1" applyBorder="1"/>
    <xf numFmtId="0" fontId="10" fillId="0" borderId="7" xfId="0" applyFont="1" applyBorder="1"/>
    <xf numFmtId="0" fontId="9" fillId="0" borderId="19" xfId="0" applyFont="1" applyBorder="1"/>
    <xf numFmtId="0" fontId="9" fillId="0" borderId="20" xfId="0" applyFont="1" applyBorder="1"/>
    <xf numFmtId="0" fontId="10" fillId="0" borderId="19" xfId="0" applyFont="1" applyBorder="1"/>
    <xf numFmtId="0" fontId="10" fillId="0" borderId="0" xfId="0" applyFont="1" applyAlignment="1">
      <alignment horizontal="left"/>
    </xf>
    <xf numFmtId="0" fontId="9" fillId="0" borderId="19" xfId="0" applyFont="1" applyBorder="1" applyAlignment="1">
      <alignment horizontal="left" indent="5"/>
    </xf>
    <xf numFmtId="44" fontId="9" fillId="0" borderId="20" xfId="4" applyFont="1" applyFill="1" applyBorder="1"/>
    <xf numFmtId="0" fontId="10" fillId="0" borderId="19" xfId="0" applyFont="1" applyBorder="1" applyAlignment="1">
      <alignment horizontal="left" indent="5"/>
    </xf>
    <xf numFmtId="44" fontId="10" fillId="0" borderId="20" xfId="4" applyFont="1" applyFill="1" applyBorder="1"/>
    <xf numFmtId="0" fontId="10" fillId="0" borderId="19" xfId="0" applyFont="1" applyBorder="1" applyAlignment="1">
      <alignment horizontal="left"/>
    </xf>
    <xf numFmtId="0" fontId="10" fillId="0" borderId="21" xfId="0" applyFont="1" applyBorder="1" applyAlignment="1">
      <alignment horizontal="left" indent="5"/>
    </xf>
    <xf numFmtId="0" fontId="10" fillId="0" borderId="22" xfId="0" applyFont="1" applyBorder="1"/>
    <xf numFmtId="44" fontId="10" fillId="0" borderId="23" xfId="4" applyFont="1" applyFill="1" applyBorder="1"/>
    <xf numFmtId="44" fontId="10" fillId="2" borderId="0" xfId="0" applyNumberFormat="1" applyFont="1" applyFill="1"/>
    <xf numFmtId="169" fontId="10" fillId="2" borderId="0" xfId="0" applyNumberFormat="1" applyFont="1" applyFill="1"/>
    <xf numFmtId="0" fontId="10" fillId="0" borderId="8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3" fillId="3" borderId="0" xfId="0" applyFont="1" applyFill="1" applyAlignment="1">
      <alignment horizontal="left"/>
    </xf>
    <xf numFmtId="0" fontId="9" fillId="0" borderId="24" xfId="0" applyFont="1" applyBorder="1" applyAlignment="1">
      <alignment horizontal="left"/>
    </xf>
    <xf numFmtId="170" fontId="9" fillId="0" borderId="0" xfId="8" applyNumberFormat="1" applyFont="1" applyFill="1" applyBorder="1"/>
    <xf numFmtId="171" fontId="5" fillId="0" borderId="9" xfId="1" applyNumberFormat="1" applyFont="1" applyBorder="1" applyProtection="1"/>
    <xf numFmtId="44" fontId="9" fillId="0" borderId="10" xfId="4" applyFont="1" applyBorder="1"/>
    <xf numFmtId="0" fontId="9" fillId="0" borderId="28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9" fillId="0" borderId="28" xfId="0" applyFont="1" applyBorder="1"/>
    <xf numFmtId="173" fontId="9" fillId="0" borderId="0" xfId="8" applyNumberFormat="1" applyFont="1" applyFill="1" applyBorder="1"/>
    <xf numFmtId="164" fontId="9" fillId="0" borderId="0" xfId="8" applyNumberFormat="1" applyFont="1" applyFill="1" applyBorder="1"/>
    <xf numFmtId="164" fontId="9" fillId="0" borderId="10" xfId="0" applyNumberFormat="1" applyFont="1" applyBorder="1"/>
    <xf numFmtId="10" fontId="9" fillId="0" borderId="0" xfId="8" applyNumberFormat="1" applyFont="1" applyFill="1" applyBorder="1"/>
    <xf numFmtId="10" fontId="9" fillId="0" borderId="0" xfId="4" applyNumberFormat="1" applyFont="1" applyFill="1" applyBorder="1"/>
    <xf numFmtId="0" fontId="10" fillId="0" borderId="29" xfId="0" applyFont="1" applyBorder="1" applyAlignment="1">
      <alignment horizontal="left"/>
    </xf>
    <xf numFmtId="0" fontId="9" fillId="0" borderId="30" xfId="0" applyFont="1" applyBorder="1"/>
    <xf numFmtId="8" fontId="9" fillId="0" borderId="0" xfId="0" applyNumberFormat="1" applyFont="1"/>
    <xf numFmtId="165" fontId="9" fillId="0" borderId="0" xfId="0" applyNumberFormat="1" applyFont="1"/>
    <xf numFmtId="44" fontId="9" fillId="0" borderId="10" xfId="0" applyNumberFormat="1" applyFont="1" applyBorder="1"/>
    <xf numFmtId="0" fontId="5" fillId="0" borderId="0" xfId="0" applyFont="1"/>
    <xf numFmtId="44" fontId="9" fillId="0" borderId="10" xfId="4" applyFont="1" applyFill="1" applyBorder="1"/>
    <xf numFmtId="0" fontId="9" fillId="0" borderId="10" xfId="0" applyFont="1" applyBorder="1"/>
    <xf numFmtId="0" fontId="8" fillId="0" borderId="28" xfId="0" applyFont="1" applyBorder="1" applyAlignment="1">
      <alignment horizontal="left"/>
    </xf>
    <xf numFmtId="44" fontId="9" fillId="0" borderId="0" xfId="0" applyNumberFormat="1" applyFont="1"/>
    <xf numFmtId="0" fontId="10" fillId="0" borderId="0" xfId="0" applyFont="1" applyAlignment="1">
      <alignment horizontal="left" indent="2"/>
    </xf>
    <xf numFmtId="44" fontId="10" fillId="0" borderId="10" xfId="4" applyFont="1" applyBorder="1"/>
    <xf numFmtId="0" fontId="10" fillId="0" borderId="32" xfId="0" applyFont="1" applyBorder="1" applyAlignment="1">
      <alignment horizontal="left"/>
    </xf>
    <xf numFmtId="0" fontId="10" fillId="0" borderId="33" xfId="0" applyFont="1" applyBorder="1"/>
    <xf numFmtId="0" fontId="9" fillId="0" borderId="33" xfId="0" applyFont="1" applyBorder="1"/>
    <xf numFmtId="44" fontId="10" fillId="0" borderId="34" xfId="4" applyFont="1" applyBorder="1"/>
    <xf numFmtId="0" fontId="10" fillId="0" borderId="35" xfId="0" applyFont="1" applyBorder="1" applyAlignment="1">
      <alignment horizontal="left"/>
    </xf>
    <xf numFmtId="0" fontId="10" fillId="0" borderId="36" xfId="0" applyFont="1" applyBorder="1"/>
    <xf numFmtId="0" fontId="9" fillId="0" borderId="36" xfId="0" applyFont="1" applyBorder="1"/>
    <xf numFmtId="0" fontId="9" fillId="0" borderId="37" xfId="0" applyFont="1" applyBorder="1"/>
    <xf numFmtId="44" fontId="9" fillId="0" borderId="31" xfId="4" applyFont="1" applyBorder="1"/>
    <xf numFmtId="172" fontId="9" fillId="0" borderId="0" xfId="0" applyNumberFormat="1" applyFont="1"/>
    <xf numFmtId="0" fontId="10" fillId="0" borderId="4" xfId="0" applyFont="1" applyBorder="1" applyAlignment="1">
      <alignment horizontal="right"/>
    </xf>
    <xf numFmtId="0" fontId="13" fillId="4" borderId="25" xfId="0" applyFont="1" applyFill="1" applyBorder="1" applyAlignment="1">
      <alignment horizontal="center"/>
    </xf>
    <xf numFmtId="0" fontId="13" fillId="4" borderId="26" xfId="0" applyFont="1" applyFill="1" applyBorder="1" applyAlignment="1">
      <alignment horizontal="center"/>
    </xf>
    <xf numFmtId="0" fontId="13" fillId="4" borderId="27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</cellXfs>
  <cellStyles count="11">
    <cellStyle name="Comma" xfId="1" builtinId="3"/>
    <cellStyle name="Comma 2" xfId="2" xr:uid="{00000000-0005-0000-0000-000001000000}"/>
    <cellStyle name="Comma 3" xfId="3" xr:uid="{00000000-0005-0000-0000-000002000000}"/>
    <cellStyle name="Currency" xfId="4" builtinId="4"/>
    <cellStyle name="Currency 2" xfId="5" xr:uid="{00000000-0005-0000-0000-000004000000}"/>
    <cellStyle name="Currency 3" xfId="6" xr:uid="{00000000-0005-0000-0000-000005000000}"/>
    <cellStyle name="Normal" xfId="0" builtinId="0"/>
    <cellStyle name="Normal 2" xfId="7" xr:uid="{00000000-0005-0000-0000-000007000000}"/>
    <cellStyle name="Percent" xfId="8" builtinId="5"/>
    <cellStyle name="Percent 2" xfId="9" xr:uid="{00000000-0005-0000-0000-000009000000}"/>
    <cellStyle name="Percent 3" xfId="10" xr:uid="{00000000-0005-0000-0000-00000A000000}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5</xdr:row>
      <xdr:rowOff>171450</xdr:rowOff>
    </xdr:from>
    <xdr:to>
      <xdr:col>2</xdr:col>
      <xdr:colOff>1009650</xdr:colOff>
      <xdr:row>10</xdr:row>
      <xdr:rowOff>38100</xdr:rowOff>
    </xdr:to>
    <xdr:pic>
      <xdr:nvPicPr>
        <xdr:cNvPr id="2101" name="Picture 3">
          <a:extLst>
            <a:ext uri="{FF2B5EF4-FFF2-40B4-BE49-F238E27FC236}">
              <a16:creationId xmlns:a16="http://schemas.microsoft.com/office/drawing/2014/main" id="{EAE5B4FF-66F5-4064-E7F4-A4EFB5F83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1466850"/>
          <a:ext cx="64770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6</xdr:row>
      <xdr:rowOff>571500</xdr:rowOff>
    </xdr:from>
    <xdr:to>
      <xdr:col>4</xdr:col>
      <xdr:colOff>0</xdr:colOff>
      <xdr:row>11</xdr:row>
      <xdr:rowOff>133350</xdr:rowOff>
    </xdr:to>
    <xdr:pic>
      <xdr:nvPicPr>
        <xdr:cNvPr id="1105" name="Picture 3">
          <a:extLst>
            <a:ext uri="{FF2B5EF4-FFF2-40B4-BE49-F238E27FC236}">
              <a16:creationId xmlns:a16="http://schemas.microsoft.com/office/drawing/2014/main" id="{797759D7-A5A5-34C4-B1AC-EEFEA372F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689100"/>
          <a:ext cx="7493000" cy="92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8"/>
  <sheetViews>
    <sheetView showGridLines="0" showRowColHeaders="0" tabSelected="1" showRuler="0" view="pageLayout" zoomScale="90" zoomScaleNormal="90" zoomScaleSheetLayoutView="100" zoomScalePageLayoutView="90" workbookViewId="0">
      <selection activeCell="B15" sqref="B15"/>
    </sheetView>
  </sheetViews>
  <sheetFormatPr defaultColWidth="9.140625" defaultRowHeight="15.75" x14ac:dyDescent="0.25"/>
  <cols>
    <col min="1" max="1" width="29.7109375" style="1" customWidth="1"/>
    <col min="2" max="2" width="50.28515625" style="1" bestFit="1" customWidth="1"/>
    <col min="3" max="3" width="15" style="1" bestFit="1" customWidth="1"/>
    <col min="4" max="4" width="11" style="1" bestFit="1" customWidth="1"/>
    <col min="5" max="5" width="60.28515625" style="1" bestFit="1" customWidth="1"/>
    <col min="6" max="6" width="53.28515625" style="1" bestFit="1" customWidth="1"/>
    <col min="7" max="16384" width="9.140625" style="1"/>
  </cols>
  <sheetData>
    <row r="1" spans="1:4" ht="20.25" x14ac:dyDescent="0.3">
      <c r="A1" s="90" t="s">
        <v>42</v>
      </c>
      <c r="B1" s="90"/>
      <c r="C1" s="90"/>
      <c r="D1" s="90"/>
    </row>
    <row r="2" spans="1:4" ht="18" x14ac:dyDescent="0.25">
      <c r="A2" s="91" t="s">
        <v>11</v>
      </c>
      <c r="B2" s="91"/>
      <c r="C2" s="91"/>
      <c r="D2" s="91"/>
    </row>
    <row r="3" spans="1:4" x14ac:dyDescent="0.25">
      <c r="A3" s="2"/>
      <c r="B3" s="2"/>
      <c r="C3" s="2"/>
      <c r="D3" s="2"/>
    </row>
    <row r="4" spans="1:4" x14ac:dyDescent="0.25">
      <c r="A4" s="2" t="s">
        <v>0</v>
      </c>
      <c r="B4" s="2"/>
      <c r="C4" s="2"/>
      <c r="D4" s="2"/>
    </row>
    <row r="5" spans="1:4" ht="33" customHeight="1" x14ac:dyDescent="0.25">
      <c r="A5" s="92" t="s">
        <v>43</v>
      </c>
      <c r="B5" s="92"/>
      <c r="C5" s="92"/>
      <c r="D5" s="92"/>
    </row>
    <row r="6" spans="1:4" ht="15.75" customHeight="1" x14ac:dyDescent="0.25">
      <c r="A6" s="92" t="s">
        <v>44</v>
      </c>
      <c r="B6" s="92"/>
      <c r="C6" s="92"/>
      <c r="D6" s="92"/>
    </row>
    <row r="7" spans="1:4" ht="15.75" customHeight="1" x14ac:dyDescent="0.25">
      <c r="A7" s="3"/>
      <c r="B7" s="3"/>
      <c r="C7" s="3"/>
      <c r="D7" s="3"/>
    </row>
    <row r="8" spans="1:4" ht="15.75" customHeight="1" x14ac:dyDescent="0.25">
      <c r="A8" s="3"/>
      <c r="B8" s="3"/>
      <c r="C8" s="3"/>
      <c r="D8" s="3"/>
    </row>
    <row r="9" spans="1:4" ht="15.75" customHeight="1" x14ac:dyDescent="0.25">
      <c r="A9" s="3"/>
      <c r="B9" s="3"/>
      <c r="C9" s="3"/>
      <c r="D9" s="3"/>
    </row>
    <row r="10" spans="1:4" ht="15.75" customHeight="1" x14ac:dyDescent="0.25">
      <c r="A10" s="3"/>
      <c r="B10" s="3"/>
      <c r="C10" s="3"/>
      <c r="D10" s="3"/>
    </row>
    <row r="11" spans="1:4" ht="51" customHeight="1" x14ac:dyDescent="0.25">
      <c r="A11" s="92" t="s">
        <v>45</v>
      </c>
      <c r="B11" s="92"/>
      <c r="C11" s="92"/>
      <c r="D11" s="92"/>
    </row>
    <row r="12" spans="1:4" ht="50.25" customHeight="1" x14ac:dyDescent="0.25">
      <c r="A12" s="92" t="s">
        <v>23</v>
      </c>
      <c r="B12" s="92"/>
      <c r="C12" s="92"/>
      <c r="D12" s="92"/>
    </row>
    <row r="13" spans="1:4" x14ac:dyDescent="0.25">
      <c r="A13" s="2" t="s">
        <v>32</v>
      </c>
      <c r="B13" s="2"/>
      <c r="C13" s="2"/>
      <c r="D13" s="2"/>
    </row>
    <row r="14" spans="1:4" ht="16.5" thickBot="1" x14ac:dyDescent="0.3">
      <c r="A14" s="2"/>
      <c r="B14" s="4" t="s">
        <v>21</v>
      </c>
      <c r="C14" s="2"/>
      <c r="D14" s="2"/>
    </row>
    <row r="15" spans="1:4" ht="16.5" thickBot="1" x14ac:dyDescent="0.3">
      <c r="A15" s="2" t="s">
        <v>1</v>
      </c>
      <c r="B15" s="5">
        <v>1000</v>
      </c>
      <c r="C15" s="2"/>
      <c r="D15" s="2"/>
    </row>
    <row r="16" spans="1:4" x14ac:dyDescent="0.25">
      <c r="A16" s="2"/>
      <c r="B16" s="6"/>
      <c r="C16" s="2"/>
      <c r="D16" s="2"/>
    </row>
    <row r="17" spans="1:4" x14ac:dyDescent="0.25">
      <c r="A17" s="2"/>
      <c r="B17" s="7" t="s">
        <v>19</v>
      </c>
      <c r="C17" s="8"/>
      <c r="D17" s="47">
        <f>D87</f>
        <v>169.82</v>
      </c>
    </row>
    <row r="18" spans="1:4" ht="6" customHeight="1" x14ac:dyDescent="0.25">
      <c r="A18" s="2"/>
      <c r="B18" s="9"/>
      <c r="C18" s="2"/>
      <c r="D18" s="2"/>
    </row>
    <row r="19" spans="1:4" x14ac:dyDescent="0.25">
      <c r="A19" s="2"/>
      <c r="B19" s="7" t="s">
        <v>20</v>
      </c>
      <c r="C19" s="8"/>
      <c r="D19" s="48">
        <f>D85/B15</f>
        <v>0.10807</v>
      </c>
    </row>
    <row r="20" spans="1:4" ht="16.5" thickBot="1" x14ac:dyDescent="0.3">
      <c r="A20" s="2"/>
      <c r="B20" s="2"/>
      <c r="C20" s="2"/>
      <c r="D20" s="2"/>
    </row>
    <row r="21" spans="1:4" ht="17.25" thickTop="1" thickBot="1" x14ac:dyDescent="0.3">
      <c r="A21" s="49" t="s">
        <v>46</v>
      </c>
      <c r="B21" s="10"/>
      <c r="C21" s="11"/>
      <c r="D21" s="12"/>
    </row>
    <row r="22" spans="1:4" x14ac:dyDescent="0.25">
      <c r="A22" s="64" t="s">
        <v>9</v>
      </c>
      <c r="B22" s="65"/>
      <c r="C22" s="65"/>
      <c r="D22" s="84">
        <f>ROUND(C23,2)</f>
        <v>9.75</v>
      </c>
    </row>
    <row r="23" spans="1:4" x14ac:dyDescent="0.25">
      <c r="A23" s="56"/>
      <c r="B23" s="2" t="s">
        <v>2</v>
      </c>
      <c r="C23" s="13">
        <v>9.75</v>
      </c>
      <c r="D23" s="55"/>
    </row>
    <row r="24" spans="1:4" x14ac:dyDescent="0.25">
      <c r="A24" s="57" t="s">
        <v>12</v>
      </c>
      <c r="B24" s="2"/>
      <c r="C24" s="13"/>
      <c r="D24" s="55"/>
    </row>
    <row r="25" spans="1:4" x14ac:dyDescent="0.25">
      <c r="A25" s="56" t="s">
        <v>53</v>
      </c>
      <c r="B25" s="2"/>
      <c r="C25" s="66"/>
      <c r="D25" s="55">
        <f>ROUND((D22+D28)*C26,2)</f>
        <v>0.75</v>
      </c>
    </row>
    <row r="26" spans="1:4" x14ac:dyDescent="0.25">
      <c r="A26" s="57"/>
      <c r="B26" s="2" t="s">
        <v>33</v>
      </c>
      <c r="C26" s="85">
        <v>1.9599999999999999E-2</v>
      </c>
      <c r="D26" s="61"/>
    </row>
    <row r="27" spans="1:4" x14ac:dyDescent="0.25">
      <c r="A27" s="57"/>
      <c r="B27" s="2"/>
      <c r="C27" s="66"/>
      <c r="D27" s="61"/>
    </row>
    <row r="28" spans="1:4" x14ac:dyDescent="0.25">
      <c r="A28" s="56" t="s">
        <v>25</v>
      </c>
      <c r="B28" s="2"/>
      <c r="C28" s="2"/>
      <c r="D28" s="55">
        <f>ROUND(C29*$B$15,2)</f>
        <v>28.61</v>
      </c>
    </row>
    <row r="29" spans="1:4" x14ac:dyDescent="0.25">
      <c r="A29" s="56"/>
      <c r="B29" s="2" t="s">
        <v>22</v>
      </c>
      <c r="C29" s="15">
        <v>2.86082E-2</v>
      </c>
      <c r="D29" s="55"/>
    </row>
    <row r="30" spans="1:4" x14ac:dyDescent="0.25">
      <c r="A30" s="56"/>
      <c r="B30" s="2"/>
      <c r="C30" s="15"/>
      <c r="D30" s="55"/>
    </row>
    <row r="31" spans="1:4" x14ac:dyDescent="0.25">
      <c r="A31" s="56" t="s">
        <v>50</v>
      </c>
      <c r="B31" s="2"/>
      <c r="C31" s="15"/>
      <c r="D31" s="55">
        <f>ROUND($C$32,2)</f>
        <v>0.1</v>
      </c>
    </row>
    <row r="32" spans="1:4" x14ac:dyDescent="0.25">
      <c r="A32" s="56"/>
      <c r="B32" s="2" t="s">
        <v>2</v>
      </c>
      <c r="C32" s="13">
        <v>0.1</v>
      </c>
      <c r="D32" s="55"/>
    </row>
    <row r="33" spans="1:4" x14ac:dyDescent="0.25">
      <c r="A33" s="56"/>
      <c r="B33" s="2"/>
      <c r="C33" s="15"/>
      <c r="D33" s="55"/>
    </row>
    <row r="34" spans="1:4" x14ac:dyDescent="0.25">
      <c r="A34" s="56" t="s">
        <v>26</v>
      </c>
      <c r="B34" s="2"/>
      <c r="C34" s="67"/>
      <c r="D34" s="55">
        <f>ROUND(C35*$B$15,2)</f>
        <v>1.47</v>
      </c>
    </row>
    <row r="35" spans="1:4" x14ac:dyDescent="0.25">
      <c r="A35" s="56"/>
      <c r="B35" s="2" t="s">
        <v>22</v>
      </c>
      <c r="C35" s="16">
        <v>1.474E-3</v>
      </c>
      <c r="D35" s="61"/>
    </row>
    <row r="36" spans="1:4" x14ac:dyDescent="0.25">
      <c r="A36" s="56"/>
      <c r="B36" s="2"/>
      <c r="C36" s="16"/>
      <c r="D36" s="61"/>
    </row>
    <row r="37" spans="1:4" x14ac:dyDescent="0.25">
      <c r="A37" s="56" t="s">
        <v>27</v>
      </c>
      <c r="B37" s="2"/>
      <c r="C37" s="2"/>
      <c r="D37" s="55">
        <f>ROUND(C38*$B$15,2)</f>
        <v>0</v>
      </c>
    </row>
    <row r="38" spans="1:4" x14ac:dyDescent="0.25">
      <c r="A38" s="56"/>
      <c r="B38" s="2" t="s">
        <v>3</v>
      </c>
      <c r="C38" s="16">
        <v>0</v>
      </c>
      <c r="D38" s="61"/>
    </row>
    <row r="39" spans="1:4" x14ac:dyDescent="0.25">
      <c r="A39" s="56"/>
      <c r="B39" s="2"/>
      <c r="C39" s="2"/>
      <c r="D39" s="61"/>
    </row>
    <row r="40" spans="1:4" x14ac:dyDescent="0.25">
      <c r="A40" s="56" t="s">
        <v>28</v>
      </c>
      <c r="B40" s="2"/>
      <c r="C40" s="2"/>
      <c r="D40" s="55">
        <f>ROUND(C41*$B$15,2)</f>
        <v>0</v>
      </c>
    </row>
    <row r="41" spans="1:4" x14ac:dyDescent="0.25">
      <c r="A41" s="56"/>
      <c r="B41" s="2" t="s">
        <v>3</v>
      </c>
      <c r="C41" s="16">
        <v>0</v>
      </c>
      <c r="D41" s="55"/>
    </row>
    <row r="42" spans="1:4" x14ac:dyDescent="0.25">
      <c r="A42" s="56"/>
      <c r="B42" s="2"/>
      <c r="C42" s="16"/>
      <c r="D42" s="55"/>
    </row>
    <row r="43" spans="1:4" x14ac:dyDescent="0.25">
      <c r="A43" s="56" t="s">
        <v>41</v>
      </c>
      <c r="B43" s="2"/>
      <c r="C43" s="16"/>
      <c r="D43" s="55">
        <f>ROUND($C$44,2)</f>
        <v>1.1599999999999999</v>
      </c>
    </row>
    <row r="44" spans="1:4" x14ac:dyDescent="0.25">
      <c r="A44" s="56"/>
      <c r="B44" s="2" t="s">
        <v>2</v>
      </c>
      <c r="C44" s="13">
        <v>1.1599999999999999</v>
      </c>
      <c r="D44" s="61"/>
    </row>
    <row r="45" spans="1:4" x14ac:dyDescent="0.25">
      <c r="A45" s="56" t="s">
        <v>29</v>
      </c>
      <c r="B45" s="2"/>
      <c r="C45" s="2"/>
      <c r="D45" s="55">
        <f>IF($B$15&lt;2001,ROUND($B$15*C46,2),IF($B$15&gt;15000,ROUND(2000*C46,2)+ROUND(13000*C47,2)+ROUND(($B$15-15000)*C48,2),ROUND(2000*C46,2)+ROUND(($B$15-2000)*C47,2)))</f>
        <v>4.6500000000000004</v>
      </c>
    </row>
    <row r="46" spans="1:4" x14ac:dyDescent="0.25">
      <c r="A46" s="56"/>
      <c r="B46" s="2" t="s">
        <v>4</v>
      </c>
      <c r="C46" s="16">
        <v>4.6499999999999996E-3</v>
      </c>
      <c r="D46" s="61"/>
    </row>
    <row r="47" spans="1:4" x14ac:dyDescent="0.25">
      <c r="A47" s="56"/>
      <c r="B47" s="2" t="s">
        <v>5</v>
      </c>
      <c r="C47" s="16">
        <v>4.1900000000000001E-3</v>
      </c>
      <c r="D47" s="61"/>
    </row>
    <row r="48" spans="1:4" x14ac:dyDescent="0.25">
      <c r="A48" s="56"/>
      <c r="B48" s="2" t="s">
        <v>6</v>
      </c>
      <c r="C48" s="16">
        <v>3.63E-3</v>
      </c>
      <c r="D48" s="61"/>
    </row>
    <row r="49" spans="1:7" x14ac:dyDescent="0.25">
      <c r="A49" s="56"/>
      <c r="B49" s="2"/>
      <c r="C49" s="16"/>
      <c r="D49" s="61"/>
    </row>
    <row r="50" spans="1:7" x14ac:dyDescent="0.25">
      <c r="A50" s="56" t="s">
        <v>51</v>
      </c>
      <c r="B50" s="2"/>
      <c r="C50" s="16"/>
      <c r="D50" s="68">
        <f>ROUND(C51*(D22+D28),2)</f>
        <v>3.19</v>
      </c>
    </row>
    <row r="51" spans="1:7" x14ac:dyDescent="0.25">
      <c r="A51" s="56"/>
      <c r="B51" s="69" t="s">
        <v>33</v>
      </c>
      <c r="C51" s="53">
        <v>8.3150000000000002E-2</v>
      </c>
      <c r="D51" s="61"/>
    </row>
    <row r="52" spans="1:7" x14ac:dyDescent="0.25">
      <c r="A52" s="56"/>
      <c r="B52" s="69"/>
      <c r="C52" s="53"/>
      <c r="D52" s="61"/>
    </row>
    <row r="53" spans="1:7" x14ac:dyDescent="0.25">
      <c r="A53" s="58" t="s">
        <v>54</v>
      </c>
      <c r="B53" s="69"/>
      <c r="C53" s="59"/>
      <c r="D53" s="55">
        <f>C54*B13</f>
        <v>0</v>
      </c>
    </row>
    <row r="54" spans="1:7" x14ac:dyDescent="0.25">
      <c r="A54" s="58"/>
      <c r="B54" s="2" t="s">
        <v>3</v>
      </c>
      <c r="C54" s="60">
        <v>0</v>
      </c>
      <c r="D54" s="61"/>
    </row>
    <row r="55" spans="1:7" x14ac:dyDescent="0.25">
      <c r="A55" s="56"/>
      <c r="B55" s="69"/>
      <c r="C55" s="53"/>
      <c r="D55" s="61"/>
    </row>
    <row r="56" spans="1:7" x14ac:dyDescent="0.25">
      <c r="A56" s="58" t="s">
        <v>55</v>
      </c>
      <c r="B56" s="2"/>
      <c r="C56" s="16"/>
      <c r="D56" s="61">
        <f>C57</f>
        <v>0.32</v>
      </c>
    </row>
    <row r="57" spans="1:7" x14ac:dyDescent="0.25">
      <c r="A57" s="58"/>
      <c r="B57" s="2" t="s">
        <v>2</v>
      </c>
      <c r="C57" s="60">
        <v>0.32</v>
      </c>
      <c r="D57" s="61"/>
    </row>
    <row r="58" spans="1:7" x14ac:dyDescent="0.25">
      <c r="A58" s="58"/>
      <c r="B58" s="2"/>
      <c r="C58" s="60"/>
      <c r="D58" s="61"/>
    </row>
    <row r="59" spans="1:7" x14ac:dyDescent="0.25">
      <c r="A59" s="58" t="s">
        <v>56</v>
      </c>
      <c r="B59" s="2"/>
      <c r="C59" s="60"/>
      <c r="D59" s="61">
        <f>ROUND((D22+D28)*C60,2)</f>
        <v>4.0599999999999996</v>
      </c>
    </row>
    <row r="60" spans="1:7" x14ac:dyDescent="0.25">
      <c r="A60" s="58"/>
      <c r="B60" s="69" t="s">
        <v>33</v>
      </c>
      <c r="C60" s="62">
        <v>0.105778</v>
      </c>
      <c r="D60" s="61"/>
    </row>
    <row r="61" spans="1:7" x14ac:dyDescent="0.25">
      <c r="A61" s="56"/>
      <c r="B61" s="17"/>
      <c r="C61" s="16"/>
      <c r="D61" s="61"/>
      <c r="E61" s="18"/>
      <c r="G61" s="18"/>
    </row>
    <row r="62" spans="1:7" x14ac:dyDescent="0.25">
      <c r="A62" s="56" t="s">
        <v>57</v>
      </c>
      <c r="B62" s="2"/>
      <c r="C62" s="2"/>
      <c r="D62" s="61"/>
    </row>
    <row r="63" spans="1:7" x14ac:dyDescent="0.25">
      <c r="A63" s="57"/>
      <c r="B63" s="2"/>
      <c r="C63" s="2"/>
      <c r="D63" s="71"/>
    </row>
    <row r="64" spans="1:7" x14ac:dyDescent="0.25">
      <c r="A64" s="72"/>
      <c r="B64" s="2"/>
      <c r="C64" s="2"/>
      <c r="D64" s="61"/>
    </row>
    <row r="65" spans="1:5" x14ac:dyDescent="0.25">
      <c r="A65" s="72"/>
      <c r="B65" s="2"/>
      <c r="C65" s="16"/>
      <c r="D65" s="61"/>
    </row>
    <row r="66" spans="1:5" x14ac:dyDescent="0.25">
      <c r="A66" s="56" t="s">
        <v>34</v>
      </c>
      <c r="B66" s="2"/>
      <c r="C66" s="16"/>
      <c r="D66" s="68">
        <f>C67</f>
        <v>1.82</v>
      </c>
    </row>
    <row r="67" spans="1:5" x14ac:dyDescent="0.25">
      <c r="A67" s="56"/>
      <c r="B67" s="69" t="s">
        <v>52</v>
      </c>
      <c r="C67" s="73">
        <v>1.82</v>
      </c>
      <c r="D67" s="61"/>
    </row>
    <row r="68" spans="1:5" x14ac:dyDescent="0.25">
      <c r="A68" s="72"/>
      <c r="B68" s="2"/>
      <c r="C68" s="16"/>
      <c r="D68" s="61"/>
    </row>
    <row r="69" spans="1:5" x14ac:dyDescent="0.25">
      <c r="A69" s="56"/>
      <c r="B69" s="2"/>
      <c r="C69" s="2"/>
      <c r="D69" s="61"/>
    </row>
    <row r="70" spans="1:5" x14ac:dyDescent="0.25">
      <c r="A70" s="56" t="s">
        <v>30</v>
      </c>
      <c r="B70" s="2"/>
      <c r="C70" s="2"/>
      <c r="D70" s="70">
        <f>ROUND(C71*$B$15,2)</f>
        <v>6.61</v>
      </c>
    </row>
    <row r="71" spans="1:5" x14ac:dyDescent="0.25">
      <c r="A71" s="56"/>
      <c r="B71" s="2" t="s">
        <v>3</v>
      </c>
      <c r="C71" s="16">
        <v>6.6108E-3</v>
      </c>
      <c r="D71" s="61"/>
    </row>
    <row r="72" spans="1:5" x14ac:dyDescent="0.25">
      <c r="A72" s="56"/>
      <c r="B72" s="2"/>
      <c r="C72" s="16"/>
      <c r="D72" s="61"/>
    </row>
    <row r="73" spans="1:5" x14ac:dyDescent="0.25">
      <c r="A73" s="56" t="s">
        <v>40</v>
      </c>
      <c r="B73" s="2"/>
      <c r="C73" s="16"/>
      <c r="D73" s="55">
        <f>ROUND((D22+D28)*C74,2)</f>
        <v>-0.74</v>
      </c>
    </row>
    <row r="74" spans="1:5" x14ac:dyDescent="0.25">
      <c r="A74" s="56"/>
      <c r="B74" s="2" t="s">
        <v>33</v>
      </c>
      <c r="C74" s="53">
        <v>-1.9311999999999999E-2</v>
      </c>
      <c r="D74" s="61"/>
    </row>
    <row r="75" spans="1:5" x14ac:dyDescent="0.25">
      <c r="A75" s="56"/>
      <c r="B75" s="69"/>
      <c r="C75" s="16"/>
      <c r="D75" s="61"/>
    </row>
    <row r="76" spans="1:5" x14ac:dyDescent="0.25">
      <c r="A76" s="57" t="s">
        <v>13</v>
      </c>
      <c r="B76" s="74"/>
      <c r="C76" s="16"/>
      <c r="D76" s="75">
        <f>SUM(D70,D62,D50,D45,D40,D37,D43,D34,D28,D25,D31,D66,D56,D73,D59,D53,)</f>
        <v>52</v>
      </c>
    </row>
    <row r="77" spans="1:5" x14ac:dyDescent="0.25">
      <c r="A77" s="56"/>
      <c r="B77" s="2"/>
      <c r="C77" s="16"/>
      <c r="D77" s="61"/>
    </row>
    <row r="78" spans="1:5" ht="16.5" thickBot="1" x14ac:dyDescent="0.3">
      <c r="A78" s="76" t="s">
        <v>24</v>
      </c>
      <c r="B78" s="77"/>
      <c r="C78" s="78"/>
      <c r="D78" s="79">
        <f>D76+D22</f>
        <v>61.75</v>
      </c>
      <c r="E78" s="18"/>
    </row>
    <row r="79" spans="1:5" x14ac:dyDescent="0.25">
      <c r="A79" s="50"/>
      <c r="B79" s="2"/>
      <c r="C79" s="2"/>
      <c r="D79" s="20"/>
      <c r="E79" s="18"/>
    </row>
    <row r="80" spans="1:5" ht="16.5" thickBot="1" x14ac:dyDescent="0.3">
      <c r="A80" s="51" t="s">
        <v>14</v>
      </c>
      <c r="B80" s="21"/>
      <c r="C80" s="22"/>
      <c r="D80" s="23"/>
      <c r="E80" s="18"/>
    </row>
    <row r="81" spans="1:5" ht="16.5" thickTop="1" x14ac:dyDescent="0.25">
      <c r="A81" s="52" t="s">
        <v>31</v>
      </c>
      <c r="B81" s="24"/>
      <c r="C81" s="24"/>
      <c r="D81" s="25">
        <f>IF($B$15&lt;751,ROUND($B$15*C82,2),ROUND(750*C82,2)+ROUND(($B$15-750)*C83,2))</f>
        <v>108.07</v>
      </c>
      <c r="E81" s="18"/>
    </row>
    <row r="82" spans="1:5" x14ac:dyDescent="0.25">
      <c r="A82" s="26"/>
      <c r="B82" s="2" t="s">
        <v>7</v>
      </c>
      <c r="C82" s="16">
        <v>0.1080709</v>
      </c>
      <c r="D82" s="27"/>
    </row>
    <row r="83" spans="1:5" x14ac:dyDescent="0.25">
      <c r="A83" s="26"/>
      <c r="B83" s="2" t="s">
        <v>8</v>
      </c>
      <c r="C83" s="16">
        <v>0.1080709</v>
      </c>
      <c r="D83" s="27"/>
    </row>
    <row r="84" spans="1:5" x14ac:dyDescent="0.25">
      <c r="A84" s="28"/>
      <c r="B84" s="17"/>
      <c r="C84" s="2"/>
      <c r="D84" s="27"/>
    </row>
    <row r="85" spans="1:5" ht="16.5" thickBot="1" x14ac:dyDescent="0.3">
      <c r="A85" s="29" t="s">
        <v>15</v>
      </c>
      <c r="B85" s="30"/>
      <c r="C85" s="31"/>
      <c r="D85" s="32">
        <f>SUM(D81)</f>
        <v>108.07</v>
      </c>
    </row>
    <row r="86" spans="1:5" ht="16.5" thickTop="1" x14ac:dyDescent="0.25">
      <c r="A86" s="33"/>
      <c r="B86" s="17"/>
      <c r="C86" s="2"/>
      <c r="D86" s="14"/>
    </row>
    <row r="87" spans="1:5" ht="16.5" thickBot="1" x14ac:dyDescent="0.3">
      <c r="A87" s="34" t="s">
        <v>16</v>
      </c>
      <c r="B87" s="86"/>
      <c r="C87" s="86"/>
      <c r="D87" s="19">
        <f>D85+D78</f>
        <v>169.82</v>
      </c>
    </row>
    <row r="88" spans="1:5" ht="17.25" thickTop="1" thickBot="1" x14ac:dyDescent="0.3">
      <c r="A88" s="2"/>
      <c r="B88" s="2"/>
      <c r="C88" s="2"/>
      <c r="D88" s="2"/>
    </row>
    <row r="89" spans="1:5" ht="16.5" thickTop="1" x14ac:dyDescent="0.25">
      <c r="A89" s="17"/>
      <c r="B89" s="87" t="s">
        <v>47</v>
      </c>
      <c r="C89" s="88"/>
      <c r="D89" s="89"/>
    </row>
    <row r="90" spans="1:5" x14ac:dyDescent="0.25">
      <c r="A90" s="2"/>
      <c r="B90" s="35"/>
      <c r="C90" s="2"/>
      <c r="D90" s="36"/>
    </row>
    <row r="91" spans="1:5" x14ac:dyDescent="0.25">
      <c r="A91" s="2"/>
      <c r="B91" s="37" t="s">
        <v>46</v>
      </c>
      <c r="C91" s="38"/>
      <c r="D91" s="36"/>
    </row>
    <row r="92" spans="1:5" x14ac:dyDescent="0.25">
      <c r="A92" s="2"/>
      <c r="B92" s="39" t="s">
        <v>10</v>
      </c>
      <c r="C92" s="2"/>
      <c r="D92" s="40">
        <f>D22</f>
        <v>9.75</v>
      </c>
    </row>
    <row r="93" spans="1:5" x14ac:dyDescent="0.25">
      <c r="A93" s="2"/>
      <c r="B93" s="39" t="s">
        <v>17</v>
      </c>
      <c r="C93" s="2"/>
      <c r="D93" s="40">
        <f>D76</f>
        <v>52</v>
      </c>
    </row>
    <row r="94" spans="1:5" x14ac:dyDescent="0.25">
      <c r="A94" s="2"/>
      <c r="B94" s="41" t="s">
        <v>48</v>
      </c>
      <c r="C94" s="17"/>
      <c r="D94" s="42">
        <f>D78</f>
        <v>61.75</v>
      </c>
    </row>
    <row r="95" spans="1:5" x14ac:dyDescent="0.25">
      <c r="A95" s="2"/>
      <c r="B95" s="39"/>
      <c r="C95" s="2"/>
      <c r="D95" s="40"/>
    </row>
    <row r="96" spans="1:5" x14ac:dyDescent="0.25">
      <c r="A96" s="2"/>
      <c r="B96" s="43" t="s">
        <v>14</v>
      </c>
      <c r="C96" s="2"/>
      <c r="D96" s="42"/>
    </row>
    <row r="97" spans="1:8" ht="16.5" thickBot="1" x14ac:dyDescent="0.3">
      <c r="A97" s="17"/>
      <c r="B97" s="44" t="s">
        <v>18</v>
      </c>
      <c r="C97" s="45"/>
      <c r="D97" s="46">
        <f>D85</f>
        <v>108.07</v>
      </c>
    </row>
    <row r="98" spans="1:8" ht="16.5" thickTop="1" x14ac:dyDescent="0.25">
      <c r="A98" s="2"/>
      <c r="B98" s="2"/>
      <c r="C98" s="2"/>
      <c r="D98" s="2"/>
    </row>
    <row r="99" spans="1:8" x14ac:dyDescent="0.25">
      <c r="H99" s="18"/>
    </row>
    <row r="101" spans="1:8" x14ac:dyDescent="0.25">
      <c r="A101" s="18"/>
      <c r="D101" s="18"/>
    </row>
    <row r="104" spans="1:8" x14ac:dyDescent="0.25">
      <c r="A104" s="18"/>
    </row>
    <row r="105" spans="1:8" x14ac:dyDescent="0.25">
      <c r="A105" s="18"/>
    </row>
    <row r="108" spans="1:8" x14ac:dyDescent="0.25">
      <c r="A108" s="18"/>
      <c r="B108" s="18"/>
    </row>
  </sheetData>
  <sheetProtection algorithmName="SHA-512" hashValue="bU+HmIYy1ecZHf7KkstPzrfN4n8w6c/f7ftHOeihGDhj8IskQtF9Z7C0nBD/wLSuZgwtFVPe4PmGuk+B05Kv7Q==" saltValue="jXmPRzIIuJCKO/La6VjeYQ==" spinCount="100000" sheet="1" selectLockedCells="1"/>
  <mergeCells count="8">
    <mergeCell ref="B87:C87"/>
    <mergeCell ref="B89:D89"/>
    <mergeCell ref="A1:D1"/>
    <mergeCell ref="A2:D2"/>
    <mergeCell ref="A5:D5"/>
    <mergeCell ref="A6:D6"/>
    <mergeCell ref="A11:D11"/>
    <mergeCell ref="A12:D12"/>
  </mergeCells>
  <conditionalFormatting sqref="C1:D88">
    <cfRule type="cellIs" dxfId="4" priority="1" operator="lessThan">
      <formula>0</formula>
    </cfRule>
  </conditionalFormatting>
  <conditionalFormatting sqref="C90:D65540">
    <cfRule type="cellIs" dxfId="3" priority="12" operator="lessThan">
      <formula>0</formula>
    </cfRule>
  </conditionalFormatting>
  <dataValidations count="1">
    <dataValidation type="decimal" errorStyle="information" allowBlank="1" showInputMessage="1" showErrorMessage="1" errorTitle="Invalid Entry" error="This cell must contain a positive number." sqref="B15" xr:uid="{00000000-0002-0000-0000-000000000000}">
      <formula1>0</formula1>
      <formula2>100000000</formula2>
    </dataValidation>
  </dataValidations>
  <printOptions horizontalCentered="1"/>
  <pageMargins left="0.7" right="0.7" top="0.75" bottom="0.75" header="0.3" footer="0.3"/>
  <pageSetup scale="82" fitToHeight="2" orientation="portrait" r:id="rId1"/>
  <headerFooter>
    <oddHeader xml:space="preserve">&amp;L&amp;G&amp;R&amp;"Arial,Regular"Effective April 1, 2024
</oddHeader>
    <oddFooter>&amp;L&amp;"Arial,Regular"Worksheet valid for calculating bills starting on April 1, 2024.  Winter months include November, December, January, February, March, April and May.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1"/>
  <sheetViews>
    <sheetView showGridLines="0" showRowColHeaders="0" showRuler="0" view="pageLayout" topLeftCell="A16" zoomScale="90" zoomScaleNormal="100" zoomScaleSheetLayoutView="100" zoomScalePageLayoutView="90" workbookViewId="0">
      <selection activeCell="B16" sqref="B16"/>
    </sheetView>
  </sheetViews>
  <sheetFormatPr defaultColWidth="9.140625" defaultRowHeight="15.75" x14ac:dyDescent="0.25"/>
  <cols>
    <col min="1" max="1" width="29.7109375" style="1" customWidth="1"/>
    <col min="2" max="2" width="50.28515625" style="1" bestFit="1" customWidth="1"/>
    <col min="3" max="3" width="15" style="1" bestFit="1" customWidth="1"/>
    <col min="4" max="4" width="12.85546875" style="1" bestFit="1" customWidth="1"/>
    <col min="5" max="5" width="60.28515625" style="1" bestFit="1" customWidth="1"/>
    <col min="6" max="6" width="53.28515625" style="1" bestFit="1" customWidth="1"/>
    <col min="7" max="16384" width="9.140625" style="1"/>
  </cols>
  <sheetData>
    <row r="1" spans="1:4" ht="20.25" x14ac:dyDescent="0.3">
      <c r="A1" s="90" t="s">
        <v>42</v>
      </c>
      <c r="B1" s="90"/>
      <c r="C1" s="90"/>
      <c r="D1" s="90"/>
    </row>
    <row r="2" spans="1:4" ht="18" x14ac:dyDescent="0.25">
      <c r="A2" s="91" t="s">
        <v>35</v>
      </c>
      <c r="B2" s="91"/>
      <c r="C2" s="91"/>
      <c r="D2" s="91"/>
    </row>
    <row r="3" spans="1:4" x14ac:dyDescent="0.25">
      <c r="A3" s="2"/>
      <c r="B3" s="2"/>
      <c r="C3" s="2"/>
      <c r="D3" s="2"/>
    </row>
    <row r="4" spans="1:4" x14ac:dyDescent="0.25">
      <c r="A4" s="2" t="s">
        <v>0</v>
      </c>
      <c r="B4" s="2"/>
      <c r="C4" s="2"/>
      <c r="D4" s="2"/>
    </row>
    <row r="5" spans="1:4" ht="33" customHeight="1" x14ac:dyDescent="0.25">
      <c r="A5" s="92" t="s">
        <v>43</v>
      </c>
      <c r="B5" s="92"/>
      <c r="C5" s="92"/>
      <c r="D5" s="92"/>
    </row>
    <row r="6" spans="1:4" ht="15.75" customHeight="1" x14ac:dyDescent="0.25">
      <c r="A6" s="92" t="s">
        <v>44</v>
      </c>
      <c r="B6" s="92"/>
      <c r="C6" s="92"/>
      <c r="D6" s="92"/>
    </row>
    <row r="7" spans="1:4" ht="15.75" customHeight="1" x14ac:dyDescent="0.25">
      <c r="A7" s="93" t="s">
        <v>39</v>
      </c>
      <c r="B7" s="93"/>
      <c r="C7" s="93"/>
      <c r="D7" s="93"/>
    </row>
    <row r="8" spans="1:4" ht="15.75" customHeight="1" x14ac:dyDescent="0.25">
      <c r="A8" s="3"/>
      <c r="B8" s="3"/>
      <c r="C8" s="3"/>
      <c r="D8" s="3"/>
    </row>
    <row r="9" spans="1:4" ht="15.75" customHeight="1" x14ac:dyDescent="0.25">
      <c r="A9" s="3"/>
      <c r="B9" s="3"/>
      <c r="C9" s="3"/>
      <c r="D9" s="3"/>
    </row>
    <row r="10" spans="1:4" ht="15.75" customHeight="1" x14ac:dyDescent="0.25">
      <c r="A10" s="3"/>
      <c r="B10" s="3"/>
      <c r="C10" s="3"/>
      <c r="D10" s="3"/>
    </row>
    <row r="11" spans="1:4" ht="15.75" customHeight="1" x14ac:dyDescent="0.25">
      <c r="A11" s="3"/>
      <c r="B11" s="3"/>
      <c r="C11" s="3"/>
      <c r="D11" s="3"/>
    </row>
    <row r="12" spans="1:4" ht="51" customHeight="1" x14ac:dyDescent="0.25">
      <c r="A12" s="92" t="s">
        <v>49</v>
      </c>
      <c r="B12" s="92"/>
      <c r="C12" s="92"/>
      <c r="D12" s="92"/>
    </row>
    <row r="13" spans="1:4" ht="50.25" customHeight="1" x14ac:dyDescent="0.25">
      <c r="A13" s="92" t="s">
        <v>23</v>
      </c>
      <c r="B13" s="92"/>
      <c r="C13" s="92"/>
      <c r="D13" s="92"/>
    </row>
    <row r="14" spans="1:4" x14ac:dyDescent="0.25">
      <c r="A14" s="2" t="s">
        <v>32</v>
      </c>
      <c r="B14" s="2"/>
      <c r="C14" s="2"/>
      <c r="D14" s="2"/>
    </row>
    <row r="15" spans="1:4" ht="16.5" thickBot="1" x14ac:dyDescent="0.3">
      <c r="A15" s="2"/>
      <c r="B15" s="4" t="s">
        <v>21</v>
      </c>
      <c r="C15" s="2"/>
      <c r="D15" s="2"/>
    </row>
    <row r="16" spans="1:4" ht="16.5" thickBot="1" x14ac:dyDescent="0.3">
      <c r="A16" s="2" t="s">
        <v>36</v>
      </c>
      <c r="B16" s="5">
        <v>1000</v>
      </c>
      <c r="C16" s="2"/>
      <c r="D16" s="2"/>
    </row>
    <row r="17" spans="1:4" ht="16.5" thickBot="1" x14ac:dyDescent="0.3">
      <c r="A17" s="2" t="s">
        <v>37</v>
      </c>
      <c r="B17" s="5"/>
      <c r="C17" s="2"/>
      <c r="D17" s="2"/>
    </row>
    <row r="18" spans="1:4" ht="16.5" thickBot="1" x14ac:dyDescent="0.3">
      <c r="A18" s="2" t="s">
        <v>38</v>
      </c>
      <c r="B18" s="54">
        <f>B16-B17</f>
        <v>1000</v>
      </c>
      <c r="C18" s="2"/>
      <c r="D18" s="2"/>
    </row>
    <row r="19" spans="1:4" x14ac:dyDescent="0.25">
      <c r="A19" s="2"/>
      <c r="B19" s="6"/>
      <c r="C19" s="2"/>
      <c r="D19" s="2"/>
    </row>
    <row r="20" spans="1:4" x14ac:dyDescent="0.25">
      <c r="A20" s="2"/>
      <c r="B20" s="7" t="s">
        <v>19</v>
      </c>
      <c r="C20" s="8"/>
      <c r="D20" s="47">
        <f>D90</f>
        <v>169.82</v>
      </c>
    </row>
    <row r="21" spans="1:4" ht="6" customHeight="1" x14ac:dyDescent="0.25">
      <c r="A21" s="2"/>
      <c r="B21" s="9"/>
      <c r="C21" s="2"/>
      <c r="D21" s="2"/>
    </row>
    <row r="22" spans="1:4" x14ac:dyDescent="0.25">
      <c r="A22" s="2"/>
      <c r="B22" s="7" t="s">
        <v>20</v>
      </c>
      <c r="C22" s="8"/>
      <c r="D22" s="48">
        <f>IF(B18&lt;0,-(D88/B18),D88/B18)</f>
        <v>0.10807</v>
      </c>
    </row>
    <row r="23" spans="1:4" ht="16.5" thickBot="1" x14ac:dyDescent="0.3">
      <c r="A23" s="2"/>
      <c r="B23" s="2"/>
      <c r="C23" s="2"/>
      <c r="D23" s="2"/>
    </row>
    <row r="24" spans="1:4" ht="16.5" thickBot="1" x14ac:dyDescent="0.3">
      <c r="A24" s="80" t="s">
        <v>46</v>
      </c>
      <c r="B24" s="81"/>
      <c r="C24" s="82"/>
      <c r="D24" s="83"/>
    </row>
    <row r="25" spans="1:4" x14ac:dyDescent="0.25">
      <c r="A25" s="64" t="s">
        <v>9</v>
      </c>
      <c r="B25" s="65"/>
      <c r="C25" s="65"/>
      <c r="D25" s="84">
        <f>ROUND(C26,2)</f>
        <v>9.75</v>
      </c>
    </row>
    <row r="26" spans="1:4" x14ac:dyDescent="0.25">
      <c r="A26" s="56"/>
      <c r="B26" s="2" t="s">
        <v>2</v>
      </c>
      <c r="C26" s="13">
        <f>'141 S'!C23</f>
        <v>9.75</v>
      </c>
      <c r="D26" s="55"/>
    </row>
    <row r="27" spans="1:4" x14ac:dyDescent="0.25">
      <c r="A27" s="57" t="s">
        <v>12</v>
      </c>
      <c r="B27" s="2"/>
      <c r="C27" s="13"/>
      <c r="D27" s="55"/>
    </row>
    <row r="28" spans="1:4" x14ac:dyDescent="0.25">
      <c r="A28" s="56" t="s">
        <v>53</v>
      </c>
      <c r="B28" s="2"/>
      <c r="C28" s="13"/>
      <c r="D28" s="55">
        <f>ROUND((D25+D31)*$C$29,2)</f>
        <v>0.75</v>
      </c>
    </row>
    <row r="29" spans="1:4" x14ac:dyDescent="0.25">
      <c r="A29" s="57"/>
      <c r="B29" s="2" t="s">
        <v>33</v>
      </c>
      <c r="C29" s="63">
        <f>'141 S'!C26</f>
        <v>1.9599999999999999E-2</v>
      </c>
      <c r="D29" s="61"/>
    </row>
    <row r="30" spans="1:4" x14ac:dyDescent="0.25">
      <c r="A30" s="57"/>
      <c r="B30" s="2"/>
      <c r="C30" s="66"/>
      <c r="D30" s="61"/>
    </row>
    <row r="31" spans="1:4" x14ac:dyDescent="0.25">
      <c r="A31" s="56" t="s">
        <v>25</v>
      </c>
      <c r="B31" s="2"/>
      <c r="C31" s="2"/>
      <c r="D31" s="55">
        <f>IF($B$18&lt;0,0,ROUND(C32*$B$18,2))</f>
        <v>28.61</v>
      </c>
    </row>
    <row r="32" spans="1:4" x14ac:dyDescent="0.25">
      <c r="A32" s="56"/>
      <c r="B32" s="2" t="s">
        <v>22</v>
      </c>
      <c r="C32" s="15">
        <f>'141 S'!C29</f>
        <v>2.86082E-2</v>
      </c>
      <c r="D32" s="55"/>
    </row>
    <row r="33" spans="1:4" x14ac:dyDescent="0.25">
      <c r="A33" s="56"/>
      <c r="B33" s="2"/>
      <c r="C33" s="15"/>
      <c r="D33" s="55"/>
    </row>
    <row r="34" spans="1:4" x14ac:dyDescent="0.25">
      <c r="A34" s="56" t="s">
        <v>50</v>
      </c>
      <c r="B34" s="2"/>
      <c r="C34" s="15"/>
      <c r="D34" s="55">
        <f>ROUND($C$35,2)</f>
        <v>0.1</v>
      </c>
    </row>
    <row r="35" spans="1:4" x14ac:dyDescent="0.25">
      <c r="A35" s="56"/>
      <c r="B35" s="2" t="s">
        <v>2</v>
      </c>
      <c r="C35" s="13">
        <f>'141 S'!C32</f>
        <v>0.1</v>
      </c>
      <c r="D35" s="55"/>
    </row>
    <row r="36" spans="1:4" x14ac:dyDescent="0.25">
      <c r="A36" s="56"/>
      <c r="B36" s="2"/>
      <c r="C36" s="15"/>
      <c r="D36" s="55"/>
    </row>
    <row r="37" spans="1:4" x14ac:dyDescent="0.25">
      <c r="A37" s="56" t="s">
        <v>26</v>
      </c>
      <c r="B37" s="2"/>
      <c r="C37" s="67"/>
      <c r="D37" s="55">
        <f>IF($B$18&lt;0,0,ROUND(C38*$B$18,2))</f>
        <v>1.47</v>
      </c>
    </row>
    <row r="38" spans="1:4" x14ac:dyDescent="0.25">
      <c r="A38" s="56"/>
      <c r="B38" s="2" t="s">
        <v>22</v>
      </c>
      <c r="C38" s="16">
        <f>'141 S'!C35</f>
        <v>1.474E-3</v>
      </c>
      <c r="D38" s="61"/>
    </row>
    <row r="39" spans="1:4" x14ac:dyDescent="0.25">
      <c r="A39" s="56"/>
      <c r="B39" s="2"/>
      <c r="C39" s="16"/>
      <c r="D39" s="61"/>
    </row>
    <row r="40" spans="1:4" x14ac:dyDescent="0.25">
      <c r="A40" s="56" t="s">
        <v>27</v>
      </c>
      <c r="B40" s="2"/>
      <c r="C40" s="2"/>
      <c r="D40" s="55">
        <f>IF($B$18&lt;0,0,ROUND(C41*$B$18,2))</f>
        <v>0</v>
      </c>
    </row>
    <row r="41" spans="1:4" x14ac:dyDescent="0.25">
      <c r="A41" s="56"/>
      <c r="B41" s="2" t="s">
        <v>3</v>
      </c>
      <c r="C41" s="16">
        <f>'141 S'!C38</f>
        <v>0</v>
      </c>
      <c r="D41" s="61"/>
    </row>
    <row r="42" spans="1:4" x14ac:dyDescent="0.25">
      <c r="A42" s="56"/>
      <c r="B42" s="2"/>
      <c r="C42" s="2"/>
      <c r="D42" s="61"/>
    </row>
    <row r="43" spans="1:4" x14ac:dyDescent="0.25">
      <c r="A43" s="56" t="s">
        <v>28</v>
      </c>
      <c r="B43" s="2"/>
      <c r="C43" s="2"/>
      <c r="D43" s="55">
        <f>IF($B$18&lt;0,0,ROUND(C44*$B$18,2))</f>
        <v>0</v>
      </c>
    </row>
    <row r="44" spans="1:4" x14ac:dyDescent="0.25">
      <c r="A44" s="56"/>
      <c r="B44" s="2" t="s">
        <v>3</v>
      </c>
      <c r="C44" s="16">
        <f>'141 S'!C41</f>
        <v>0</v>
      </c>
      <c r="D44" s="55"/>
    </row>
    <row r="45" spans="1:4" x14ac:dyDescent="0.25">
      <c r="A45" s="56"/>
      <c r="B45" s="2"/>
      <c r="C45" s="16"/>
      <c r="D45" s="55"/>
    </row>
    <row r="46" spans="1:4" x14ac:dyDescent="0.25">
      <c r="A46" s="56" t="s">
        <v>41</v>
      </c>
      <c r="B46" s="2"/>
      <c r="C46" s="16"/>
      <c r="D46" s="55">
        <f>IF(B18&lt;0,0,ROUND($C$47,2))</f>
        <v>1.1599999999999999</v>
      </c>
    </row>
    <row r="47" spans="1:4" x14ac:dyDescent="0.25">
      <c r="A47" s="56"/>
      <c r="B47" s="2" t="s">
        <v>3</v>
      </c>
      <c r="C47" s="13">
        <f>'141 S'!C44</f>
        <v>1.1599999999999999</v>
      </c>
      <c r="D47" s="61"/>
    </row>
    <row r="48" spans="1:4" x14ac:dyDescent="0.25">
      <c r="A48" s="56" t="s">
        <v>29</v>
      </c>
      <c r="B48" s="2"/>
      <c r="C48" s="2"/>
      <c r="D48" s="55">
        <f>IF($B$18&lt;0,0,IF($B$18&lt;2001,ROUND($B$18*C49,2),IF($B$18&gt;15000,ROUND(2000*C49,2)+ROUND(13000*C50,2)+ROUND(($B$18-15000)*C51,2),ROUND(2000*C49,2)+ROUND(($B$18-2000)*C50,2))))</f>
        <v>4.6500000000000004</v>
      </c>
    </row>
    <row r="49" spans="1:7" x14ac:dyDescent="0.25">
      <c r="A49" s="56"/>
      <c r="B49" s="2" t="s">
        <v>4</v>
      </c>
      <c r="C49" s="16">
        <f>'141 S'!C46</f>
        <v>4.6499999999999996E-3</v>
      </c>
      <c r="D49" s="61"/>
    </row>
    <row r="50" spans="1:7" x14ac:dyDescent="0.25">
      <c r="A50" s="56"/>
      <c r="B50" s="2" t="s">
        <v>5</v>
      </c>
      <c r="C50" s="16">
        <f>'141 S'!C47</f>
        <v>4.1900000000000001E-3</v>
      </c>
      <c r="D50" s="61"/>
    </row>
    <row r="51" spans="1:7" x14ac:dyDescent="0.25">
      <c r="A51" s="56"/>
      <c r="B51" s="2" t="s">
        <v>6</v>
      </c>
      <c r="C51" s="16">
        <f>'141 S'!C48</f>
        <v>3.63E-3</v>
      </c>
      <c r="D51" s="61"/>
    </row>
    <row r="52" spans="1:7" x14ac:dyDescent="0.25">
      <c r="A52" s="56"/>
      <c r="B52" s="2"/>
      <c r="C52" s="16"/>
      <c r="D52" s="61"/>
    </row>
    <row r="53" spans="1:7" x14ac:dyDescent="0.25">
      <c r="A53" s="56" t="s">
        <v>51</v>
      </c>
      <c r="B53" s="2"/>
      <c r="C53" s="16"/>
      <c r="D53" s="68">
        <f>ROUND(C54*(D25+D31),2)</f>
        <v>3.19</v>
      </c>
    </row>
    <row r="54" spans="1:7" x14ac:dyDescent="0.25">
      <c r="A54" s="56"/>
      <c r="B54" s="69" t="s">
        <v>33</v>
      </c>
      <c r="C54" s="53">
        <f>'141 S'!C51</f>
        <v>8.3150000000000002E-2</v>
      </c>
      <c r="D54" s="61"/>
    </row>
    <row r="55" spans="1:7" x14ac:dyDescent="0.25">
      <c r="A55" s="56"/>
      <c r="B55" s="69"/>
      <c r="C55" s="53"/>
      <c r="D55" s="61"/>
    </row>
    <row r="56" spans="1:7" x14ac:dyDescent="0.25">
      <c r="A56" s="58" t="s">
        <v>54</v>
      </c>
      <c r="B56" s="69"/>
      <c r="C56" s="59"/>
      <c r="D56" s="55">
        <f>C57*B18</f>
        <v>0</v>
      </c>
    </row>
    <row r="57" spans="1:7" x14ac:dyDescent="0.25">
      <c r="A57" s="58"/>
      <c r="B57" s="2" t="s">
        <v>3</v>
      </c>
      <c r="C57" s="60">
        <v>0</v>
      </c>
      <c r="D57" s="61"/>
    </row>
    <row r="58" spans="1:7" x14ac:dyDescent="0.25">
      <c r="A58" s="56"/>
      <c r="B58" s="69"/>
      <c r="C58" s="53"/>
      <c r="D58" s="61"/>
    </row>
    <row r="59" spans="1:7" x14ac:dyDescent="0.25">
      <c r="A59" s="58" t="s">
        <v>55</v>
      </c>
      <c r="B59" s="2"/>
      <c r="C59" s="16"/>
      <c r="D59" s="61">
        <f>C60</f>
        <v>0.32</v>
      </c>
    </row>
    <row r="60" spans="1:7" x14ac:dyDescent="0.25">
      <c r="A60" s="58"/>
      <c r="B60" s="2" t="s">
        <v>2</v>
      </c>
      <c r="C60" s="60">
        <v>0.32</v>
      </c>
      <c r="D60" s="61"/>
    </row>
    <row r="61" spans="1:7" x14ac:dyDescent="0.25">
      <c r="A61" s="58"/>
      <c r="B61" s="2"/>
      <c r="C61" s="60"/>
      <c r="D61" s="61"/>
    </row>
    <row r="62" spans="1:7" x14ac:dyDescent="0.25">
      <c r="A62" s="58" t="s">
        <v>56</v>
      </c>
      <c r="B62" s="2"/>
      <c r="C62" s="60"/>
      <c r="D62" s="61">
        <f>ROUND((D25+D31)*C63,2)</f>
        <v>4.0599999999999996</v>
      </c>
    </row>
    <row r="63" spans="1:7" x14ac:dyDescent="0.25">
      <c r="A63" s="58"/>
      <c r="B63" s="69" t="s">
        <v>33</v>
      </c>
      <c r="C63" s="62">
        <f>'141 S'!C60</f>
        <v>0.105778</v>
      </c>
      <c r="D63" s="61"/>
    </row>
    <row r="64" spans="1:7" x14ac:dyDescent="0.25">
      <c r="A64" s="56"/>
      <c r="B64" s="17"/>
      <c r="C64" s="16"/>
      <c r="D64" s="61"/>
      <c r="E64" s="18"/>
      <c r="G64" s="18"/>
    </row>
    <row r="65" spans="1:4" x14ac:dyDescent="0.25">
      <c r="A65" s="56" t="str">
        <f>'141 S'!A62</f>
        <v xml:space="preserve">    Reserved for future use</v>
      </c>
      <c r="B65" s="17"/>
      <c r="C65" s="16"/>
      <c r="D65" s="61"/>
    </row>
    <row r="66" spans="1:4" x14ac:dyDescent="0.25">
      <c r="A66" s="57"/>
      <c r="B66" s="17"/>
      <c r="C66" s="16"/>
      <c r="D66" s="61"/>
    </row>
    <row r="67" spans="1:4" x14ac:dyDescent="0.25">
      <c r="A67" s="72"/>
      <c r="B67" s="17"/>
      <c r="C67" s="16"/>
      <c r="D67" s="61"/>
    </row>
    <row r="68" spans="1:4" x14ac:dyDescent="0.25">
      <c r="A68" s="72"/>
      <c r="B68" s="2"/>
      <c r="C68" s="16"/>
      <c r="D68" s="61"/>
    </row>
    <row r="69" spans="1:4" x14ac:dyDescent="0.25">
      <c r="A69" s="56" t="s">
        <v>34</v>
      </c>
      <c r="B69" s="2"/>
      <c r="C69" s="16"/>
      <c r="D69" s="68">
        <f>C70</f>
        <v>1.82</v>
      </c>
    </row>
    <row r="70" spans="1:4" x14ac:dyDescent="0.25">
      <c r="A70" s="56"/>
      <c r="B70" s="69" t="str">
        <f>'141 S'!B67</f>
        <v>A flat fee per period of</v>
      </c>
      <c r="C70" s="73">
        <f>'141 S'!C67</f>
        <v>1.82</v>
      </c>
      <c r="D70" s="61"/>
    </row>
    <row r="71" spans="1:4" x14ac:dyDescent="0.25">
      <c r="A71" s="72"/>
      <c r="B71" s="2"/>
      <c r="C71" s="16"/>
      <c r="D71" s="61"/>
    </row>
    <row r="72" spans="1:4" x14ac:dyDescent="0.25">
      <c r="A72" s="56"/>
      <c r="B72" s="2"/>
      <c r="C72" s="2"/>
      <c r="D72" s="61"/>
    </row>
    <row r="73" spans="1:4" x14ac:dyDescent="0.25">
      <c r="A73" s="56" t="s">
        <v>30</v>
      </c>
      <c r="B73" s="2"/>
      <c r="C73" s="2"/>
      <c r="D73" s="70">
        <f>IF($B$18&lt;0,0,ROUND(C74*$B$18,2))</f>
        <v>6.61</v>
      </c>
    </row>
    <row r="74" spans="1:4" x14ac:dyDescent="0.25">
      <c r="A74" s="56"/>
      <c r="B74" s="2" t="s">
        <v>3</v>
      </c>
      <c r="C74" s="16">
        <f>'141 S'!C71</f>
        <v>6.6108E-3</v>
      </c>
      <c r="D74" s="61"/>
    </row>
    <row r="75" spans="1:4" x14ac:dyDescent="0.25">
      <c r="A75" s="56"/>
      <c r="B75" s="2"/>
      <c r="C75" s="16"/>
      <c r="D75" s="61"/>
    </row>
    <row r="76" spans="1:4" x14ac:dyDescent="0.25">
      <c r="A76" s="56" t="s">
        <v>40</v>
      </c>
      <c r="B76" s="2"/>
      <c r="C76" s="16"/>
      <c r="D76" s="61">
        <f>ROUND((D25+D31)*C77,2)</f>
        <v>-0.74</v>
      </c>
    </row>
    <row r="77" spans="1:4" x14ac:dyDescent="0.25">
      <c r="A77" s="56"/>
      <c r="B77" s="2" t="s">
        <v>33</v>
      </c>
      <c r="C77" s="53">
        <f>'141 S'!C74</f>
        <v>-1.9311999999999999E-2</v>
      </c>
      <c r="D77" s="61"/>
    </row>
    <row r="78" spans="1:4" x14ac:dyDescent="0.25">
      <c r="A78" s="72"/>
      <c r="B78" s="2"/>
      <c r="C78" s="16"/>
      <c r="D78" s="61"/>
    </row>
    <row r="79" spans="1:4" x14ac:dyDescent="0.25">
      <c r="A79" s="57" t="s">
        <v>13</v>
      </c>
      <c r="B79" s="74"/>
      <c r="C79" s="16"/>
      <c r="D79" s="75">
        <f>SUM(D73,D65,D53,D48,D43,D40,D46,D37,D31,D28,D34,D69,D59,D76,D62,D56)</f>
        <v>52</v>
      </c>
    </row>
    <row r="80" spans="1:4" x14ac:dyDescent="0.25">
      <c r="A80" s="56"/>
      <c r="B80" s="2"/>
      <c r="C80" s="16"/>
      <c r="D80" s="61"/>
    </row>
    <row r="81" spans="1:5" ht="16.5" thickBot="1" x14ac:dyDescent="0.3">
      <c r="A81" s="76" t="s">
        <v>24</v>
      </c>
      <c r="B81" s="77"/>
      <c r="C81" s="78"/>
      <c r="D81" s="79">
        <f>D79+D25</f>
        <v>61.75</v>
      </c>
      <c r="E81" s="18"/>
    </row>
    <row r="82" spans="1:5" x14ac:dyDescent="0.25">
      <c r="A82" s="50"/>
      <c r="B82" s="2"/>
      <c r="C82" s="2"/>
      <c r="D82" s="20"/>
      <c r="E82" s="18"/>
    </row>
    <row r="83" spans="1:5" ht="16.5" thickBot="1" x14ac:dyDescent="0.3">
      <c r="A83" s="51" t="s">
        <v>14</v>
      </c>
      <c r="B83" s="21"/>
      <c r="C83" s="22"/>
      <c r="D83" s="23"/>
      <c r="E83" s="18"/>
    </row>
    <row r="84" spans="1:5" ht="16.5" thickTop="1" x14ac:dyDescent="0.25">
      <c r="A84" s="52" t="s">
        <v>31</v>
      </c>
      <c r="B84" s="24"/>
      <c r="C84" s="24"/>
      <c r="D84" s="25">
        <f>IF($B$18&gt;0,IF(ABS($B$18)&lt;751,ROUND(ABS($B$18)*C85,2),ROUND(750*C85,2)+ROUND((ABS($B$18)-750)*C86,2)),IF(ABS($B$18)&lt;751,ROUND(ABS($B$18)*-C85,2),ROUND(750*-C85,2)+ROUND((ABS($B$18)-750)*-C86,2)))</f>
        <v>108.07</v>
      </c>
      <c r="E84" s="18"/>
    </row>
    <row r="85" spans="1:5" x14ac:dyDescent="0.25">
      <c r="A85" s="26"/>
      <c r="B85" s="2" t="s">
        <v>7</v>
      </c>
      <c r="C85" s="16">
        <f>'141 S'!C82</f>
        <v>0.1080709</v>
      </c>
      <c r="D85" s="27"/>
    </row>
    <row r="86" spans="1:5" x14ac:dyDescent="0.25">
      <c r="A86" s="26"/>
      <c r="B86" s="2" t="s">
        <v>8</v>
      </c>
      <c r="C86" s="16">
        <f>'141 S'!C83</f>
        <v>0.1080709</v>
      </c>
      <c r="D86" s="27"/>
    </row>
    <row r="87" spans="1:5" x14ac:dyDescent="0.25">
      <c r="A87" s="28"/>
      <c r="B87" s="17"/>
      <c r="C87" s="2"/>
      <c r="D87" s="27"/>
    </row>
    <row r="88" spans="1:5" ht="16.5" thickBot="1" x14ac:dyDescent="0.3">
      <c r="A88" s="29" t="s">
        <v>15</v>
      </c>
      <c r="B88" s="30"/>
      <c r="C88" s="31"/>
      <c r="D88" s="32">
        <f>SUM(D84)</f>
        <v>108.07</v>
      </c>
    </row>
    <row r="89" spans="1:5" ht="16.5" thickTop="1" x14ac:dyDescent="0.25">
      <c r="A89" s="33"/>
      <c r="B89" s="17"/>
      <c r="C89" s="2"/>
      <c r="D89" s="14"/>
    </row>
    <row r="90" spans="1:5" ht="16.5" thickBot="1" x14ac:dyDescent="0.3">
      <c r="A90" s="34" t="s">
        <v>16</v>
      </c>
      <c r="B90" s="86"/>
      <c r="C90" s="86"/>
      <c r="D90" s="19">
        <f>D88+D81</f>
        <v>169.82</v>
      </c>
    </row>
    <row r="91" spans="1:5" ht="17.25" thickTop="1" thickBot="1" x14ac:dyDescent="0.3">
      <c r="A91" s="2"/>
      <c r="B91" s="2"/>
      <c r="C91" s="2"/>
      <c r="D91" s="2"/>
    </row>
    <row r="92" spans="1:5" ht="16.5" thickTop="1" x14ac:dyDescent="0.25">
      <c r="A92" s="17"/>
      <c r="B92" s="87" t="s">
        <v>47</v>
      </c>
      <c r="C92" s="88"/>
      <c r="D92" s="89"/>
    </row>
    <row r="93" spans="1:5" x14ac:dyDescent="0.25">
      <c r="A93" s="2"/>
      <c r="B93" s="35"/>
      <c r="C93" s="2"/>
      <c r="D93" s="36"/>
    </row>
    <row r="94" spans="1:5" x14ac:dyDescent="0.25">
      <c r="A94" s="2"/>
      <c r="B94" s="37" t="s">
        <v>46</v>
      </c>
      <c r="C94" s="38"/>
      <c r="D94" s="36"/>
    </row>
    <row r="95" spans="1:5" x14ac:dyDescent="0.25">
      <c r="A95" s="2"/>
      <c r="B95" s="39" t="s">
        <v>10</v>
      </c>
      <c r="C95" s="2"/>
      <c r="D95" s="40">
        <f>D25</f>
        <v>9.75</v>
      </c>
    </row>
    <row r="96" spans="1:5" x14ac:dyDescent="0.25">
      <c r="A96" s="2"/>
      <c r="B96" s="39" t="s">
        <v>17</v>
      </c>
      <c r="C96" s="2"/>
      <c r="D96" s="40">
        <f>D79</f>
        <v>52</v>
      </c>
    </row>
    <row r="97" spans="1:8" x14ac:dyDescent="0.25">
      <c r="A97" s="2"/>
      <c r="B97" s="41" t="s">
        <v>48</v>
      </c>
      <c r="C97" s="17"/>
      <c r="D97" s="42">
        <f>D81</f>
        <v>61.75</v>
      </c>
    </row>
    <row r="98" spans="1:8" x14ac:dyDescent="0.25">
      <c r="A98" s="2"/>
      <c r="B98" s="39"/>
      <c r="C98" s="2"/>
      <c r="D98" s="40"/>
    </row>
    <row r="99" spans="1:8" x14ac:dyDescent="0.25">
      <c r="A99" s="2"/>
      <c r="B99" s="43" t="s">
        <v>14</v>
      </c>
      <c r="C99" s="2"/>
      <c r="D99" s="42"/>
    </row>
    <row r="100" spans="1:8" ht="16.5" thickBot="1" x14ac:dyDescent="0.3">
      <c r="A100" s="17"/>
      <c r="B100" s="44" t="s">
        <v>18</v>
      </c>
      <c r="C100" s="45"/>
      <c r="D100" s="46">
        <f>D88</f>
        <v>108.07</v>
      </c>
    </row>
    <row r="101" spans="1:8" ht="16.5" thickTop="1" x14ac:dyDescent="0.25">
      <c r="A101" s="2"/>
      <c r="B101" s="2"/>
      <c r="C101" s="2"/>
      <c r="D101" s="2"/>
    </row>
    <row r="102" spans="1:8" x14ac:dyDescent="0.25">
      <c r="H102" s="18"/>
    </row>
    <row r="104" spans="1:8" x14ac:dyDescent="0.25">
      <c r="A104" s="18"/>
      <c r="D104" s="18"/>
    </row>
    <row r="107" spans="1:8" x14ac:dyDescent="0.25">
      <c r="A107" s="18"/>
    </row>
    <row r="108" spans="1:8" x14ac:dyDescent="0.25">
      <c r="A108" s="18"/>
    </row>
    <row r="111" spans="1:8" x14ac:dyDescent="0.25">
      <c r="A111" s="18"/>
      <c r="B111" s="18"/>
    </row>
  </sheetData>
  <sheetProtection algorithmName="SHA-512" hashValue="7wrj4grxHJxxHH1rwKmdOQf8dcUZXr91h5usQq3O5doJCI3hcKj94iZe7P/4SPg55wzFnPKmkar7nQScZdQiqA==" saltValue="G/pjQuCsi7En0/d8d9dP3g==" spinCount="100000" sheet="1" selectLockedCells="1"/>
  <mergeCells count="9">
    <mergeCell ref="B92:D92"/>
    <mergeCell ref="B90:C90"/>
    <mergeCell ref="A1:D1"/>
    <mergeCell ref="A2:D2"/>
    <mergeCell ref="A5:D5"/>
    <mergeCell ref="A6:D6"/>
    <mergeCell ref="A12:D12"/>
    <mergeCell ref="A13:D13"/>
    <mergeCell ref="A7:D7"/>
  </mergeCells>
  <conditionalFormatting sqref="C1:D6 C8:D33 C34:C35 C93:D65540">
    <cfRule type="cellIs" dxfId="2" priority="13" operator="lessThan">
      <formula>0</formula>
    </cfRule>
  </conditionalFormatting>
  <conditionalFormatting sqref="C35:D91">
    <cfRule type="cellIs" dxfId="1" priority="1" operator="lessThan">
      <formula>0</formula>
    </cfRule>
  </conditionalFormatting>
  <conditionalFormatting sqref="D34">
    <cfRule type="cellIs" dxfId="0" priority="4" operator="lessThan">
      <formula>0</formula>
    </cfRule>
  </conditionalFormatting>
  <dataValidations count="2">
    <dataValidation type="decimal" errorStyle="information" allowBlank="1" showInputMessage="1" showErrorMessage="1" errorTitle="Invalid Entry" error="This cell must contain a positive number." sqref="B16:B17" xr:uid="{00000000-0002-0000-0100-000000000000}">
      <formula1>0</formula1>
      <formula2>100000000</formula2>
    </dataValidation>
    <dataValidation type="decimal" errorStyle="information" allowBlank="1" showInputMessage="1" showErrorMessage="1" errorTitle="Invalid entry" error="This cell must contain a positive number._x000a_" sqref="B18" xr:uid="{00000000-0002-0000-0100-000001000000}">
      <formula1>0</formula1>
      <formula2>100000000</formula2>
    </dataValidation>
  </dataValidations>
  <printOptions horizontalCentered="1"/>
  <pageMargins left="0.7" right="0.7" top="0.75" bottom="0.75" header="0.3" footer="0.3"/>
  <pageSetup scale="82" fitToHeight="2" orientation="portrait" r:id="rId1"/>
  <headerFooter>
    <oddHeader xml:space="preserve">&amp;L&amp;G&amp;R&amp;"Arial,Regular"Effective April 1, 2024
</oddHeader>
    <oddFooter xml:space="preserve">&amp;L&amp;"Arial,Regular"Worksheet valid for calculating bills starting on April 1, 2024.  Summer months include June, July, August, September and October.   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64e94169-021c-4578-be09-6006b4dea068" xsi:nil="true"/>
    <TaxCatchAll xmlns="8e537545-18ac-42cc-8f2a-89499299f0e1" xsi:nil="true"/>
    <lcf76f155ced4ddcb4097134ff3c332f xmlns="64e94169-021c-4578-be09-6006b4dea06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35DA127EFEA643A071466D67462D58" ma:contentTypeVersion="18" ma:contentTypeDescription="Create a new document." ma:contentTypeScope="" ma:versionID="bb4d01d89fac8602414c897f6783ecea">
  <xsd:schema xmlns:xsd="http://www.w3.org/2001/XMLSchema" xmlns:xs="http://www.w3.org/2001/XMLSchema" xmlns:p="http://schemas.microsoft.com/office/2006/metadata/properties" xmlns:ns2="64e94169-021c-4578-be09-6006b4dea068" xmlns:ns3="8e537545-18ac-42cc-8f2a-89499299f0e1" targetNamespace="http://schemas.microsoft.com/office/2006/metadata/properties" ma:root="true" ma:fieldsID="adac88aae904a8fc569624feeb3c92b0" ns2:_="" ns3:_="">
    <xsd:import namespace="64e94169-021c-4578-be09-6006b4dea068"/>
    <xsd:import namespace="8e537545-18ac-42cc-8f2a-89499299f0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_Flow_SignoffStatu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94169-021c-4578-be09-6006b4dea0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d4df7da-c195-4679-b09b-159ed35ba1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537545-18ac-42cc-8f2a-89499299f0e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45159a9-6d9c-4454-b472-74cf3cb3e2d5}" ma:internalName="TaxCatchAll" ma:showField="CatchAllData" ma:web="8e537545-18ac-42cc-8f2a-89499299f0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C26ADA-3832-43C6-80E6-00DFA650FD8C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64e94169-021c-4578-be09-6006b4dea068"/>
    <ds:schemaRef ds:uri="http://purl.org/dc/elements/1.1/"/>
    <ds:schemaRef ds:uri="8e537545-18ac-42cc-8f2a-89499299f0e1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2657326-E308-47F3-9087-C6F42F7701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94169-021c-4578-be09-6006b4dea068"/>
    <ds:schemaRef ds:uri="8e537545-18ac-42cc-8f2a-89499299f0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32EB0A-D74A-48EA-BB72-CC601DAB8D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141 S</vt:lpstr>
      <vt:lpstr>141 S - Net Metering</vt:lpstr>
      <vt:lpstr>Sheet2</vt:lpstr>
      <vt:lpstr>Sheet3</vt:lpstr>
    </vt:vector>
  </TitlesOfParts>
  <Company>The Dayton Power and Light Company,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Blevins</dc:creator>
  <cp:lastModifiedBy>David J Saliba</cp:lastModifiedBy>
  <cp:lastPrinted>2017-11-07T20:41:18Z</cp:lastPrinted>
  <dcterms:created xsi:type="dcterms:W3CDTF">2010-05-07T13:35:59Z</dcterms:created>
  <dcterms:modified xsi:type="dcterms:W3CDTF">2024-03-29T17:22:50Z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0x010100F335DA127EFEA643A071466D67462D58</vt:lpwstr>
  </property>
  <property fmtid="{D5CDD505-2E9C-101B-9397-08002B2CF9AE}" pid="3" name="MediaServiceImageTags">
    <vt:lpwstr/>
  </property>
</Properties>
</file>