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sbres0.dplinc.com\Corp_Data\Bill Calculators\Bill Calculator Guides\April 1, 2024\"/>
    </mc:Choice>
  </mc:AlternateContent>
  <xr:revisionPtr revIDLastSave="0" documentId="13_ncr:1_{6DB455D8-33F3-42B2-BDFE-BDA4DC41DDF2}" xr6:coauthVersionLast="47" xr6:coauthVersionMax="47" xr10:uidLastSave="{00000000-0000-0000-0000-000000000000}"/>
  <workbookProtection workbookPassword="EE7D" lockStructure="1"/>
  <bookViews>
    <workbookView xWindow="-108" yWindow="-108" windowWidth="23256" windowHeight="12456" xr2:uid="{00000000-000D-0000-FFFF-FFFF00000000}"/>
  </bookViews>
  <sheets>
    <sheet name="188" sheetId="1" r:id="rId1"/>
    <sheet name="188 Net Metering"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2" l="1"/>
  <c r="D32" i="1"/>
  <c r="D66" i="1" l="1"/>
  <c r="D69" i="2"/>
  <c r="D66" i="2"/>
  <c r="D63" i="1"/>
  <c r="D60" i="1"/>
  <c r="D40" i="1"/>
  <c r="C86" i="2"/>
  <c r="D49" i="1"/>
  <c r="C40" i="2"/>
  <c r="B20" i="2"/>
  <c r="D63" i="2" s="1"/>
  <c r="D73" i="1"/>
  <c r="C56" i="2"/>
  <c r="C57" i="2"/>
  <c r="C58" i="2"/>
  <c r="C98" i="2"/>
  <c r="C82" i="2"/>
  <c r="C81" i="2"/>
  <c r="C83" i="2"/>
  <c r="D32" i="2"/>
  <c r="C41" i="2"/>
  <c r="C44" i="2"/>
  <c r="C47" i="2"/>
  <c r="C50" i="2"/>
  <c r="C53" i="2"/>
  <c r="C61" i="2"/>
  <c r="C30" i="2"/>
  <c r="D29" i="2" s="1"/>
  <c r="C78" i="2"/>
  <c r="D77" i="2" s="1"/>
  <c r="D36" i="1"/>
  <c r="D93" i="1"/>
  <c r="D96" i="1" s="1"/>
  <c r="D29" i="1"/>
  <c r="D76" i="1"/>
  <c r="D52" i="1"/>
  <c r="D46" i="1"/>
  <c r="D43" i="1"/>
  <c r="D26" i="1"/>
  <c r="D103" i="1" s="1"/>
  <c r="D39" i="2" l="1"/>
  <c r="D52" i="2"/>
  <c r="D43" i="2"/>
  <c r="D46" i="2"/>
  <c r="D97" i="2"/>
  <c r="D100" i="2" s="1"/>
  <c r="D26" i="2" s="1"/>
  <c r="D49" i="2"/>
  <c r="D55" i="2"/>
  <c r="D35" i="2"/>
  <c r="D60" i="2" s="1"/>
  <c r="D80" i="2"/>
  <c r="D108" i="1"/>
  <c r="D23" i="1"/>
  <c r="D57" i="1"/>
  <c r="D107" i="2"/>
  <c r="D81" i="1"/>
  <c r="D84" i="1" l="1"/>
  <c r="D104" i="1" s="1"/>
  <c r="D112" i="2"/>
  <c r="D85" i="2"/>
  <c r="D88" i="2"/>
  <c r="D108" i="2" s="1"/>
  <c r="D86" i="1" l="1"/>
  <c r="D98" i="1" s="1"/>
  <c r="D90" i="2"/>
  <c r="D24" i="2" s="1"/>
  <c r="D21" i="1" l="1"/>
  <c r="D105" i="1"/>
  <c r="D102" i="2"/>
  <c r="D109" i="2"/>
</calcChain>
</file>

<file path=xl/sharedStrings.xml><?xml version="1.0" encoding="utf-8"?>
<sst xmlns="http://schemas.openxmlformats.org/spreadsheetml/2006/main" count="141" uniqueCount="63">
  <si>
    <t>How to Calculate Your AES Ohio Bill</t>
  </si>
  <si>
    <t>Non-Residential (Rate 188, 198)</t>
  </si>
  <si>
    <t>You will need:</t>
  </si>
  <si>
    <t>To verify you are on Rate 188 or Rate 198 - find the section near the middle of your AES Ohio bill labeled “Usage Detail", below which the column titled "Rate"  should read 188 or 198.</t>
  </si>
  <si>
    <t>Your monthly kWh Usage is to the left of your Rate number on your AES Ohio bill. See example below.</t>
  </si>
  <si>
    <t>To verify that your bill is within a 25 to 35 day billing cycle (also on your AES Ohio bill) - under "Usage Detail" find the column titled "Billing Days".  NOTE:  this rate worksheet will not correctly calculate bills outside of the 25 to 35 day billing cycle. Net Metering customers see second tab for rates.</t>
  </si>
  <si>
    <t>For Rate 188 or Rate 198, you will need to find the total electric usage for the month and the billing demand. For customers on Rate 198, you will need to adjust your kWh plus 1%.</t>
  </si>
  <si>
    <t>To obtain your monthly Kvar Usage, on your AES Ohio bill - -  under "Usage Detail" find the column titled "Usage".</t>
  </si>
  <si>
    <t>Input Usage Below</t>
  </si>
  <si>
    <t xml:space="preserve">kWh Usage:    </t>
  </si>
  <si>
    <t>kW (Demand):</t>
  </si>
  <si>
    <t>Kvar:</t>
  </si>
  <si>
    <t>Total Bill</t>
  </si>
  <si>
    <t>Price - To - Compare</t>
  </si>
  <si>
    <t xml:space="preserve">AES Ohio Delivery Charges: </t>
  </si>
  <si>
    <t xml:space="preserve">Customer Charge (D21):  </t>
  </si>
  <si>
    <t xml:space="preserve">A flat fee per billing period of </t>
  </si>
  <si>
    <t xml:space="preserve">Other Delivery Charges: </t>
  </si>
  <si>
    <t xml:space="preserve">              Regulatory Compliance Rider  (D31):</t>
  </si>
  <si>
    <t>Demand Charge (D21):</t>
  </si>
  <si>
    <t>Multiply the Billed Demand by</t>
  </si>
  <si>
    <t>Multiply the Billed kVar by</t>
  </si>
  <si>
    <t>Universal Service Rider (D28):</t>
  </si>
  <si>
    <t>Multiply the Billed kWh 0-833,000 by</t>
  </si>
  <si>
    <t>Multiply the Billed kWh &gt; 833,000 by</t>
  </si>
  <si>
    <t xml:space="preserve">Solar Generation Fund Rider (D27): </t>
  </si>
  <si>
    <t>Multiply the Billed kWh by</t>
  </si>
  <si>
    <t>Energy Efficiency Rider (D38):</t>
  </si>
  <si>
    <t>Economic Development Rider (D39):</t>
  </si>
  <si>
    <t>Legacy Generation Rider (D40)</t>
  </si>
  <si>
    <t>Excise Tax (D33):</t>
  </si>
  <si>
    <t xml:space="preserve">0 – 2,000 kWh multiply by </t>
  </si>
  <si>
    <t xml:space="preserve">2,001 – 15,000 kWh multiply by </t>
  </si>
  <si>
    <t xml:space="preserve">over 15,000 kWh multiply by </t>
  </si>
  <si>
    <t xml:space="preserve">% of Base Distribution </t>
  </si>
  <si>
    <t xml:space="preserve">Multiply the Billed kWh by </t>
  </si>
  <si>
    <t xml:space="preserve">           Storm Cost Recovery Rider (D30):</t>
  </si>
  <si>
    <t>A flat fee per billing period of</t>
  </si>
  <si>
    <t xml:space="preserve">           Transmission Cost Recovery Rider - Non-bypassable (T8):</t>
  </si>
  <si>
    <t>Multiply the Billed kVAR by</t>
  </si>
  <si>
    <t xml:space="preserve">          Tax Credit Savings Rider (D41):</t>
  </si>
  <si>
    <t xml:space="preserve">Other Delivery Charges Total: </t>
  </si>
  <si>
    <t xml:space="preserve">AES Ohio Delivery Total: </t>
  </si>
  <si>
    <t xml:space="preserve">Supply Charges: </t>
  </si>
  <si>
    <t>Standard Offer Rate (G10):</t>
  </si>
  <si>
    <t xml:space="preserve">Supply Total: </t>
  </si>
  <si>
    <t xml:space="preserve">Total Bill: </t>
  </si>
  <si>
    <t>How charges appear on AES Ohio's bill</t>
  </si>
  <si>
    <t>Customer Charge</t>
  </si>
  <si>
    <t>Other Delivery Charges</t>
  </si>
  <si>
    <t>Supply Charges</t>
  </si>
  <si>
    <t>Non-Residential (Rate 188, 198) - Net Metering</t>
  </si>
  <si>
    <t xml:space="preserve">As a Net Metering customer you will enter Actual and Received kWh located on your bill in addition to your kW demand.  For customers on Rate 198, you will need to adjust your Actual kWh up by 1% and adjust your Received kWh down by 1%.  Example: Actual usage 5000 X 101%=5050, Received usage 2000 kWh X 99% =1980 </t>
  </si>
  <si>
    <t>To verify that your bill is within a 25 to 35 day billing cycle (also on your AES Ohio bill) - under "Usage Detail" find the column titled "Billing Days".  NOTE:  this rate worksheet will not correctly calculate bills outside of the 25 to 35 day billing cycle.</t>
  </si>
  <si>
    <t xml:space="preserve">kWh Actual:    </t>
  </si>
  <si>
    <t>kWh Received:</t>
  </si>
  <si>
    <t>kWh Net:</t>
  </si>
  <si>
    <t xml:space="preserve">           Reserved for future use</t>
  </si>
  <si>
    <t xml:space="preserve">           Distribution Investment Rider (D36):</t>
  </si>
  <si>
    <t xml:space="preserve">           Proactive Reliability Optimization Rider  (D32):</t>
  </si>
  <si>
    <t xml:space="preserve">           Customer Programs Rider (D37):</t>
  </si>
  <si>
    <t xml:space="preserve">           Infrastructure Investment Rider (D29):</t>
  </si>
  <si>
    <t xml:space="preserve">          Regulatory Compliance Rider  (D31):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</si>
</sst>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4" formatCode="_(&quot;$&quot;* #,##0.00_);_(&quot;$&quot;* \(#,##0.00\);_(&quot;$&quot;* &quot;-&quot;??_);_(@_)"/>
    <numFmt numFmtId="43" formatCode="_(* #,##0.00_);_(* \(#,##0.00\);_(* &quot;-&quot;??_);_(@_)"/>
    <numFmt numFmtId="164" formatCode="&quot;$&quot;#,##0.00"/>
    <numFmt numFmtId="165" formatCode="0.0000000"/>
    <numFmt numFmtId="166" formatCode="_(&quot;$&quot;* #,##0.0000000_);_(&quot;$&quot;* \(#,##0.0000000\);_(&quot;$&quot;* &quot;-&quot;??_);_(@_)"/>
    <numFmt numFmtId="167" formatCode="_(&quot;$&quot;* #,##0.0000_);_(&quot;$&quot;* \(#,##0.0000\);_(&quot;$&quot;* &quot;-&quot;??_);_(@_)"/>
    <numFmt numFmtId="168" formatCode="#,##0.0;[Red]#,##0.0"/>
    <numFmt numFmtId="169" formatCode="#,##0;[Red]#,##0"/>
    <numFmt numFmtId="170" formatCode="_(&quot;$&quot;* #,##0.000000_);_(&quot;$&quot;* \(#,##0.000000\);_(&quot;$&quot;* &quot;-&quot;??_);_(@_)"/>
    <numFmt numFmtId="171" formatCode="0.0000%"/>
    <numFmt numFmtId="172" formatCode="0.00000%"/>
  </numFmts>
  <fonts count="14" x14ac:knownFonts="1">
    <font>
      <sz val="11"/>
      <color theme="1"/>
      <name val="Calibri"/>
      <family val="2"/>
      <scheme val="minor"/>
    </font>
    <font>
      <sz val="10"/>
      <name val="Arial"/>
      <family val="2"/>
    </font>
    <font>
      <sz val="10"/>
      <name val="Arial"/>
      <family val="2"/>
    </font>
    <font>
      <sz val="11"/>
      <name val="Arial"/>
      <family val="2"/>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1"/>
      <color theme="0"/>
      <name val="Arial"/>
      <family val="2"/>
    </font>
    <font>
      <sz val="11"/>
      <color theme="0"/>
      <name val="Arial"/>
      <family val="2"/>
    </font>
    <font>
      <sz val="12"/>
      <color theme="1"/>
      <name val="Arial"/>
      <family val="2"/>
    </font>
    <font>
      <b/>
      <sz val="16"/>
      <color rgb="FF0054A4"/>
      <name val="Arial"/>
      <family val="2"/>
    </font>
    <font>
      <b/>
      <sz val="14"/>
      <color rgb="FF0054A4"/>
      <name val="Arial"/>
      <family val="2"/>
    </font>
    <font>
      <sz val="12"/>
      <color rgb="FFFF0000"/>
      <name val="Arial"/>
      <family val="2"/>
    </font>
  </fonts>
  <fills count="5">
    <fill>
      <patternFill patternType="none"/>
    </fill>
    <fill>
      <patternFill patternType="gray125"/>
    </fill>
    <fill>
      <patternFill patternType="solid">
        <fgColor rgb="FFFFFF00"/>
        <bgColor indexed="64"/>
      </patternFill>
    </fill>
    <fill>
      <patternFill patternType="solid">
        <fgColor rgb="FF61973E"/>
        <bgColor indexed="64"/>
      </patternFill>
    </fill>
    <fill>
      <patternFill patternType="solid">
        <fgColor rgb="FF0054A4"/>
        <bgColor indexed="64"/>
      </patternFill>
    </fill>
  </fills>
  <borders count="35">
    <border>
      <left/>
      <right/>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medium">
        <color indexed="64"/>
      </right>
      <top/>
      <bottom/>
      <diagonal/>
    </border>
    <border>
      <left style="thick">
        <color rgb="FF61973E"/>
      </left>
      <right/>
      <top style="thick">
        <color rgb="FF61973E"/>
      </top>
      <bottom/>
      <diagonal/>
    </border>
    <border>
      <left/>
      <right/>
      <top style="thick">
        <color rgb="FF61973E"/>
      </top>
      <bottom/>
      <diagonal/>
    </border>
    <border>
      <left/>
      <right style="thick">
        <color rgb="FF61973E"/>
      </right>
      <top style="thick">
        <color rgb="FF61973E"/>
      </top>
      <bottom/>
      <diagonal/>
    </border>
    <border>
      <left/>
      <right style="thick">
        <color rgb="FF61973E"/>
      </right>
      <top/>
      <bottom/>
      <diagonal/>
    </border>
    <border>
      <left style="thick">
        <color rgb="FF61973E"/>
      </left>
      <right/>
      <top/>
      <bottom/>
      <diagonal/>
    </border>
    <border>
      <left style="thick">
        <color rgb="FF61973E"/>
      </left>
      <right/>
      <top/>
      <bottom style="thick">
        <color rgb="FF61973E"/>
      </bottom>
      <diagonal/>
    </border>
    <border>
      <left/>
      <right/>
      <top/>
      <bottom style="thick">
        <color rgb="FF61973E"/>
      </bottom>
      <diagonal/>
    </border>
    <border>
      <left/>
      <right style="thick">
        <color rgb="FF61973E"/>
      </right>
      <top/>
      <bottom style="thick">
        <color rgb="FF61973E"/>
      </bottom>
      <diagonal/>
    </border>
    <border>
      <left style="thick">
        <color rgb="FF0054A4"/>
      </left>
      <right/>
      <top/>
      <bottom/>
      <diagonal/>
    </border>
    <border>
      <left/>
      <right style="thick">
        <color rgb="FF0054A4"/>
      </right>
      <top/>
      <bottom/>
      <diagonal/>
    </border>
    <border>
      <left/>
      <right/>
      <top/>
      <bottom style="thick">
        <color rgb="FF0054A4"/>
      </bottom>
      <diagonal/>
    </border>
    <border>
      <left style="thick">
        <color rgb="FF0054A4"/>
      </left>
      <right/>
      <top/>
      <bottom style="thick">
        <color rgb="FF0054A4"/>
      </bottom>
      <diagonal/>
    </border>
    <border>
      <left/>
      <right style="thick">
        <color rgb="FF0054A4"/>
      </right>
      <top/>
      <bottom style="thick">
        <color rgb="FF0054A4"/>
      </bottom>
      <diagonal/>
    </border>
    <border>
      <left style="medium">
        <color theme="9"/>
      </left>
      <right style="medium">
        <color theme="9"/>
      </right>
      <top/>
      <bottom style="medium">
        <color theme="9"/>
      </bottom>
      <diagonal/>
    </border>
    <border>
      <left style="medium">
        <color theme="9"/>
      </left>
      <right style="medium">
        <color theme="9"/>
      </right>
      <top style="medium">
        <color theme="9"/>
      </top>
      <bottom style="medium">
        <color theme="9"/>
      </bottom>
      <diagonal/>
    </border>
    <border>
      <left style="thick">
        <color rgb="FF0054A4"/>
      </left>
      <right/>
      <top style="thick">
        <color rgb="FF0054A4"/>
      </top>
      <bottom/>
      <diagonal/>
    </border>
    <border>
      <left/>
      <right/>
      <top style="thick">
        <color rgb="FF0054A4"/>
      </top>
      <bottom/>
      <diagonal/>
    </border>
    <border>
      <left/>
      <right style="thick">
        <color rgb="FF0054A4"/>
      </right>
      <top style="thick">
        <color rgb="FF0054A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5" fillId="0" borderId="0" xfId="0" applyFont="1" applyAlignment="1">
      <alignment horizontal="center"/>
    </xf>
    <xf numFmtId="0" fontId="0" fillId="0" borderId="0" xfId="0" applyAlignment="1">
      <alignment horizontal="left" indent="2"/>
    </xf>
    <xf numFmtId="0" fontId="5" fillId="0" borderId="0" xfId="0" applyFont="1"/>
    <xf numFmtId="0" fontId="0" fillId="0" borderId="0" xfId="0" applyAlignment="1">
      <alignment horizontal="left" indent="5"/>
    </xf>
    <xf numFmtId="0" fontId="6" fillId="0" borderId="0" xfId="0" applyFont="1"/>
    <xf numFmtId="0" fontId="7" fillId="0" borderId="0" xfId="0" applyFont="1" applyAlignment="1">
      <alignment horizontal="center"/>
    </xf>
    <xf numFmtId="0" fontId="7" fillId="2" borderId="0" xfId="0" applyFont="1" applyFill="1"/>
    <xf numFmtId="0" fontId="7" fillId="0" borderId="0" xfId="0" applyFont="1"/>
    <xf numFmtId="44" fontId="6" fillId="0" borderId="0" xfId="4" applyFont="1"/>
    <xf numFmtId="44" fontId="7" fillId="0" borderId="0" xfId="4" applyFont="1"/>
    <xf numFmtId="0" fontId="7" fillId="0" borderId="0" xfId="0" applyFont="1" applyAlignment="1">
      <alignment horizontal="left" indent="5"/>
    </xf>
    <xf numFmtId="44" fontId="7" fillId="0" borderId="0" xfId="4" applyFont="1" applyFill="1"/>
    <xf numFmtId="0" fontId="6" fillId="2" borderId="0" xfId="0" applyFont="1" applyFill="1"/>
    <xf numFmtId="44" fontId="7" fillId="2" borderId="0" xfId="4" applyFont="1" applyFill="1"/>
    <xf numFmtId="167" fontId="7" fillId="2" borderId="0" xfId="4" applyNumberFormat="1" applyFont="1" applyFill="1"/>
    <xf numFmtId="0" fontId="6" fillId="0" borderId="1" xfId="0" applyFont="1" applyBorder="1"/>
    <xf numFmtId="44" fontId="6" fillId="0" borderId="0" xfId="4" applyFont="1" applyFill="1" applyBorder="1"/>
    <xf numFmtId="166" fontId="6" fillId="0" borderId="0" xfId="0" applyNumberFormat="1" applyFont="1"/>
    <xf numFmtId="166" fontId="6" fillId="0" borderId="0" xfId="4" applyNumberFormat="1" applyFont="1" applyFill="1" applyBorder="1"/>
    <xf numFmtId="0" fontId="7" fillId="0" borderId="3" xfId="0" applyFont="1" applyBorder="1"/>
    <xf numFmtId="44" fontId="7" fillId="0" borderId="4" xfId="4" applyFont="1" applyBorder="1"/>
    <xf numFmtId="0" fontId="7" fillId="0" borderId="5" xfId="0" applyFont="1" applyBorder="1"/>
    <xf numFmtId="0" fontId="7" fillId="0" borderId="6" xfId="0" applyFont="1" applyBorder="1"/>
    <xf numFmtId="44" fontId="7" fillId="0" borderId="7" xfId="4" applyFont="1" applyBorder="1"/>
    <xf numFmtId="0" fontId="6" fillId="0" borderId="10" xfId="0" applyFont="1" applyBorder="1" applyAlignment="1">
      <alignment horizontal="left" indent="4"/>
    </xf>
    <xf numFmtId="0" fontId="6" fillId="0" borderId="11" xfId="0" applyFont="1" applyBorder="1"/>
    <xf numFmtId="44" fontId="6" fillId="0" borderId="12" xfId="4" applyFont="1" applyBorder="1"/>
    <xf numFmtId="44" fontId="6" fillId="0" borderId="13" xfId="4" applyFont="1" applyBorder="1"/>
    <xf numFmtId="0" fontId="7" fillId="0" borderId="14" xfId="0" applyFont="1" applyBorder="1" applyAlignment="1">
      <alignment horizontal="left" indent="4"/>
    </xf>
    <xf numFmtId="0" fontId="6" fillId="0" borderId="14" xfId="0" applyFont="1" applyBorder="1"/>
    <xf numFmtId="0" fontId="7" fillId="0" borderId="15" xfId="0" applyFont="1" applyBorder="1"/>
    <xf numFmtId="0" fontId="7" fillId="0" borderId="16" xfId="0" applyFont="1" applyBorder="1"/>
    <xf numFmtId="166" fontId="7" fillId="0" borderId="16" xfId="0" applyNumberFormat="1" applyFont="1" applyBorder="1"/>
    <xf numFmtId="44" fontId="7" fillId="0" borderId="17" xfId="4" applyFont="1" applyBorder="1"/>
    <xf numFmtId="166" fontId="7" fillId="0" borderId="0" xfId="0" applyNumberFormat="1" applyFont="1"/>
    <xf numFmtId="0" fontId="8" fillId="3" borderId="10" xfId="0" applyFont="1" applyFill="1" applyBorder="1"/>
    <xf numFmtId="0" fontId="8" fillId="3" borderId="11" xfId="0" applyFont="1" applyFill="1" applyBorder="1"/>
    <xf numFmtId="0" fontId="9" fillId="3" borderId="11" xfId="0" applyFont="1" applyFill="1" applyBorder="1"/>
    <xf numFmtId="44" fontId="9" fillId="3" borderId="12" xfId="4" applyFont="1" applyFill="1" applyBorder="1"/>
    <xf numFmtId="0" fontId="6" fillId="0" borderId="18" xfId="0" applyFont="1" applyBorder="1"/>
    <xf numFmtId="0" fontId="6" fillId="0" borderId="19" xfId="0" applyFont="1" applyBorder="1"/>
    <xf numFmtId="0" fontId="7" fillId="0" borderId="18" xfId="0" applyFont="1" applyBorder="1"/>
    <xf numFmtId="0" fontId="7" fillId="0" borderId="0" xfId="0" applyFont="1" applyAlignment="1">
      <alignment horizontal="left"/>
    </xf>
    <xf numFmtId="0" fontId="6" fillId="0" borderId="18" xfId="0" applyFont="1" applyBorder="1" applyAlignment="1">
      <alignment horizontal="left" indent="5"/>
    </xf>
    <xf numFmtId="44" fontId="6" fillId="0" borderId="19" xfId="4" applyFont="1" applyFill="1" applyBorder="1"/>
    <xf numFmtId="0" fontId="7" fillId="0" borderId="18" xfId="0" applyFont="1" applyBorder="1" applyAlignment="1">
      <alignment horizontal="left" indent="5"/>
    </xf>
    <xf numFmtId="44" fontId="7" fillId="0" borderId="19" xfId="4" applyFont="1" applyFill="1" applyBorder="1"/>
    <xf numFmtId="0" fontId="6" fillId="0" borderId="18" xfId="0" applyFont="1" applyBorder="1" applyAlignment="1">
      <alignment horizontal="left" indent="13"/>
    </xf>
    <xf numFmtId="0" fontId="6" fillId="0" borderId="20" xfId="0" applyFont="1" applyBorder="1"/>
    <xf numFmtId="0" fontId="7" fillId="0" borderId="18" xfId="0" applyFont="1" applyBorder="1" applyAlignment="1">
      <alignment horizontal="left"/>
    </xf>
    <xf numFmtId="0" fontId="7" fillId="0" borderId="21" xfId="0" applyFont="1" applyBorder="1" applyAlignment="1">
      <alignment horizontal="left" indent="5"/>
    </xf>
    <xf numFmtId="44" fontId="7" fillId="0" borderId="22" xfId="4" applyFont="1" applyFill="1" applyBorder="1"/>
    <xf numFmtId="168" fontId="3" fillId="0" borderId="23" xfId="1" applyNumberFormat="1" applyFont="1" applyBorder="1" applyProtection="1">
      <protection locked="0"/>
    </xf>
    <xf numFmtId="0" fontId="6" fillId="0" borderId="0" xfId="0" applyFont="1" applyAlignment="1">
      <alignment horizontal="left" wrapText="1"/>
    </xf>
    <xf numFmtId="169" fontId="3" fillId="0" borderId="24" xfId="1" applyNumberFormat="1" applyFont="1" applyBorder="1" applyProtection="1">
      <protection locked="0"/>
    </xf>
    <xf numFmtId="172" fontId="6" fillId="0" borderId="0" xfId="8" applyNumberFormat="1" applyFont="1" applyFill="1" applyBorder="1"/>
    <xf numFmtId="169" fontId="3" fillId="0" borderId="23" xfId="1" applyNumberFormat="1" applyFont="1" applyBorder="1" applyProtection="1">
      <protection locked="0"/>
    </xf>
    <xf numFmtId="169" fontId="3" fillId="0" borderId="24" xfId="1" applyNumberFormat="1" applyFont="1" applyBorder="1" applyProtection="1"/>
    <xf numFmtId="44" fontId="6" fillId="0" borderId="9" xfId="4" applyFont="1" applyBorder="1" applyAlignment="1"/>
    <xf numFmtId="171" fontId="6" fillId="0" borderId="0" xfId="8" applyNumberFormat="1" applyFont="1" applyFill="1" applyBorder="1"/>
    <xf numFmtId="0" fontId="7" fillId="0" borderId="8" xfId="0" applyFont="1" applyBorder="1"/>
    <xf numFmtId="0" fontId="7" fillId="0" borderId="1" xfId="0" applyFont="1" applyBorder="1"/>
    <xf numFmtId="0" fontId="6" fillId="0" borderId="2" xfId="0" applyFont="1" applyBorder="1"/>
    <xf numFmtId="0" fontId="7" fillId="0" borderId="28" xfId="0" applyFont="1" applyBorder="1" applyAlignment="1">
      <alignment horizontal="left" indent="2"/>
    </xf>
    <xf numFmtId="0" fontId="6" fillId="0" borderId="29" xfId="0" applyFont="1" applyBorder="1"/>
    <xf numFmtId="44" fontId="6" fillId="0" borderId="30" xfId="4" applyFont="1" applyBorder="1"/>
    <xf numFmtId="0" fontId="6" fillId="0" borderId="31" xfId="0" applyFont="1" applyBorder="1"/>
    <xf numFmtId="164" fontId="6" fillId="0" borderId="9" xfId="0" applyNumberFormat="1" applyFont="1" applyBorder="1"/>
    <xf numFmtId="0" fontId="7" fillId="0" borderId="31" xfId="0" applyFont="1" applyBorder="1" applyAlignment="1">
      <alignment horizontal="left" indent="2"/>
    </xf>
    <xf numFmtId="165" fontId="6" fillId="0" borderId="0" xfId="0" applyNumberFormat="1" applyFont="1"/>
    <xf numFmtId="0" fontId="10" fillId="0" borderId="0" xfId="0" applyFont="1"/>
    <xf numFmtId="44" fontId="6" fillId="0" borderId="0" xfId="0" applyNumberFormat="1" applyFont="1"/>
    <xf numFmtId="0" fontId="6" fillId="0" borderId="31" xfId="0" applyFont="1" applyBorder="1" applyAlignment="1">
      <alignment horizontal="left" indent="4"/>
    </xf>
    <xf numFmtId="44" fontId="6" fillId="0" borderId="9" xfId="4" applyFont="1" applyBorder="1"/>
    <xf numFmtId="8" fontId="6" fillId="0" borderId="0" xfId="0" applyNumberFormat="1" applyFont="1"/>
    <xf numFmtId="170" fontId="6" fillId="0" borderId="0" xfId="0" applyNumberFormat="1" applyFont="1"/>
    <xf numFmtId="0" fontId="7" fillId="0" borderId="31" xfId="0" applyFont="1" applyBorder="1" applyAlignment="1">
      <alignment horizontal="left" indent="4"/>
    </xf>
    <xf numFmtId="0" fontId="3" fillId="0" borderId="0" xfId="0" applyFont="1"/>
    <xf numFmtId="0" fontId="7" fillId="0" borderId="31" xfId="0" applyFont="1" applyBorder="1"/>
    <xf numFmtId="164" fontId="6" fillId="0" borderId="9" xfId="4" applyNumberFormat="1" applyFont="1" applyBorder="1"/>
    <xf numFmtId="0" fontId="7" fillId="0" borderId="32" xfId="0" applyFont="1" applyBorder="1"/>
    <xf numFmtId="0" fontId="7" fillId="0" borderId="33" xfId="0" applyFont="1" applyBorder="1"/>
    <xf numFmtId="0" fontId="6" fillId="0" borderId="33" xfId="0" applyFont="1" applyBorder="1"/>
    <xf numFmtId="164" fontId="7" fillId="0" borderId="34" xfId="4" applyNumberFormat="1" applyFont="1" applyBorder="1"/>
    <xf numFmtId="0" fontId="6" fillId="0" borderId="31" xfId="0" applyFont="1" applyBorder="1" applyAlignment="1">
      <alignment horizontal="left"/>
    </xf>
    <xf numFmtId="0" fontId="7" fillId="0" borderId="31" xfId="0" applyFont="1" applyBorder="1" applyAlignment="1">
      <alignment horizontal="left"/>
    </xf>
    <xf numFmtId="164" fontId="6" fillId="0" borderId="0" xfId="8" applyNumberFormat="1" applyFont="1" applyFill="1" applyBorder="1"/>
    <xf numFmtId="0" fontId="6" fillId="0" borderId="0" xfId="0" applyFont="1" applyAlignment="1">
      <alignment horizontal="left" wrapText="1"/>
    </xf>
    <xf numFmtId="0" fontId="8" fillId="4" borderId="25" xfId="0" applyFont="1" applyFill="1" applyBorder="1" applyAlignment="1">
      <alignment horizontal="center"/>
    </xf>
    <xf numFmtId="0" fontId="8" fillId="4" borderId="26" xfId="0" applyFont="1" applyFill="1" applyBorder="1" applyAlignment="1">
      <alignment horizontal="center"/>
    </xf>
    <xf numFmtId="0" fontId="8" fillId="4" borderId="27" xfId="0" applyFont="1" applyFill="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left" vertical="top" wrapText="1"/>
    </xf>
  </cellXfs>
  <cellStyles count="11">
    <cellStyle name="Comma" xfId="1" builtinId="3"/>
    <cellStyle name="Comma 2" xfId="2" xr:uid="{00000000-0005-0000-0000-000001000000}"/>
    <cellStyle name="Comma 3" xfId="3" xr:uid="{00000000-0005-0000-0000-000002000000}"/>
    <cellStyle name="Currency" xfId="4" builtinId="4"/>
    <cellStyle name="Currency 2" xfId="5" xr:uid="{00000000-0005-0000-0000-000004000000}"/>
    <cellStyle name="Currency 3" xfId="6" xr:uid="{00000000-0005-0000-0000-000005000000}"/>
    <cellStyle name="Normal" xfId="0" builtinId="0"/>
    <cellStyle name="Normal 2" xfId="7" xr:uid="{00000000-0005-0000-0000-000007000000}"/>
    <cellStyle name="Percent" xfId="8" builtinId="5"/>
    <cellStyle name="Percent 2" xfId="9" xr:uid="{00000000-0005-0000-0000-000009000000}"/>
    <cellStyle name="Percent 3" xfId="10" xr:uid="{00000000-0005-0000-0000-00000A000000}"/>
  </cellStyles>
  <dxfs count="15">
    <dxf>
      <font>
        <color rgb="FFFF0000"/>
      </font>
    </dxf>
    <dxf>
      <font>
        <color rgb="FF9C0006"/>
      </font>
    </dxf>
    <dxf>
      <font>
        <color rgb="FFFF0000"/>
      </font>
      <fill>
        <patternFill patternType="none">
          <bgColor indexed="65"/>
        </patternFill>
      </fill>
    </dxf>
    <dxf>
      <font>
        <color rgb="FFFF0000"/>
      </font>
    </dxf>
    <dxf>
      <font>
        <color rgb="FFFF0000"/>
      </font>
    </dxf>
    <dxf>
      <font>
        <color rgb="FFFF0000"/>
      </font>
    </dxf>
    <dxf>
      <font>
        <color rgb="FFFF0000"/>
      </font>
    </dxf>
    <dxf>
      <font>
        <color rgb="FFFF0000"/>
      </font>
    </dxf>
    <dxf>
      <font>
        <color rgb="FF9C0006"/>
      </font>
    </dxf>
    <dxf>
      <font>
        <color rgb="FFFF0000"/>
      </font>
      <fill>
        <patternFill patternType="none">
          <bgColor indexed="65"/>
        </patternFill>
      </fill>
    </dxf>
    <dxf>
      <font>
        <color rgb="FFFF0000"/>
      </font>
    </dxf>
    <dxf>
      <font>
        <color rgb="FFFF0000"/>
      </font>
    </dxf>
    <dxf>
      <font>
        <color rgb="FF9C0006"/>
      </font>
    </dxf>
    <dxf>
      <font>
        <color rgb="FFFF0000"/>
      </font>
      <fill>
        <patternFill patternType="none">
          <bgColor indexed="65"/>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3"/>
  <sheetViews>
    <sheetView showGridLines="0" showRowColHeaders="0" tabSelected="1" showRuler="0" view="pageLayout" topLeftCell="A57" zoomScale="90" zoomScaleNormal="100" zoomScaleSheetLayoutView="80" zoomScalePageLayoutView="90" workbookViewId="0">
      <selection activeCell="B17" sqref="B17"/>
    </sheetView>
  </sheetViews>
  <sheetFormatPr defaultColWidth="9.109375" defaultRowHeight="14.4" x14ac:dyDescent="0.3"/>
  <cols>
    <col min="1" max="1" width="29.6640625" customWidth="1"/>
    <col min="2" max="2" width="50" customWidth="1"/>
    <col min="3" max="3" width="14.109375" bestFit="1" customWidth="1"/>
    <col min="4" max="4" width="14" customWidth="1"/>
    <col min="5" max="5" width="53" customWidth="1"/>
    <col min="6" max="6" width="53.6640625" bestFit="1" customWidth="1"/>
  </cols>
  <sheetData>
    <row r="1" spans="1:5" ht="21" x14ac:dyDescent="0.4">
      <c r="A1" s="92" t="s">
        <v>0</v>
      </c>
      <c r="B1" s="92"/>
      <c r="C1" s="92"/>
      <c r="D1" s="92"/>
      <c r="E1" s="1"/>
    </row>
    <row r="2" spans="1:5" ht="17.399999999999999" x14ac:dyDescent="0.3">
      <c r="A2" s="93" t="s">
        <v>1</v>
      </c>
      <c r="B2" s="93"/>
      <c r="C2" s="93"/>
      <c r="D2" s="93"/>
      <c r="E2" s="1"/>
    </row>
    <row r="3" spans="1:5" x14ac:dyDescent="0.3">
      <c r="A3" s="5"/>
      <c r="B3" s="5"/>
      <c r="C3" s="5"/>
      <c r="D3" s="5"/>
    </row>
    <row r="4" spans="1:5" x14ac:dyDescent="0.3">
      <c r="A4" s="5" t="s">
        <v>2</v>
      </c>
      <c r="B4" s="5"/>
      <c r="C4" s="5"/>
      <c r="D4" s="5"/>
    </row>
    <row r="5" spans="1:5" ht="28.5" customHeight="1" x14ac:dyDescent="0.3">
      <c r="A5" s="88" t="s">
        <v>3</v>
      </c>
      <c r="B5" s="88"/>
      <c r="C5" s="88"/>
      <c r="D5" s="88"/>
      <c r="E5" s="2"/>
    </row>
    <row r="6" spans="1:5" ht="15" customHeight="1" x14ac:dyDescent="0.3">
      <c r="A6" s="88" t="s">
        <v>4</v>
      </c>
      <c r="B6" s="88"/>
      <c r="C6" s="88"/>
      <c r="D6" s="88"/>
      <c r="E6" s="2"/>
    </row>
    <row r="7" spans="1:5" ht="15" customHeight="1" x14ac:dyDescent="0.3">
      <c r="A7" s="54"/>
      <c r="B7" s="54"/>
      <c r="C7" s="54"/>
      <c r="D7" s="54"/>
      <c r="E7" s="2"/>
    </row>
    <row r="8" spans="1:5" ht="15" customHeight="1" x14ac:dyDescent="0.3">
      <c r="A8" s="54"/>
      <c r="B8" s="54"/>
      <c r="C8" s="54"/>
      <c r="D8" s="54"/>
      <c r="E8" s="2"/>
    </row>
    <row r="9" spans="1:5" ht="15" customHeight="1" x14ac:dyDescent="0.3">
      <c r="A9" s="54"/>
      <c r="B9" s="54"/>
      <c r="C9" s="54"/>
      <c r="D9" s="54"/>
      <c r="E9" s="2"/>
    </row>
    <row r="10" spans="1:5" ht="15" customHeight="1" x14ac:dyDescent="0.3">
      <c r="A10" s="54"/>
      <c r="B10" s="54"/>
      <c r="C10" s="54"/>
      <c r="D10" s="54"/>
      <c r="E10" s="2"/>
    </row>
    <row r="11" spans="1:5" ht="15" customHeight="1" x14ac:dyDescent="0.3">
      <c r="A11" s="54"/>
      <c r="B11" s="54"/>
      <c r="C11" s="54"/>
      <c r="D11" s="54"/>
      <c r="E11" s="2"/>
    </row>
    <row r="12" spans="1:5" ht="15" customHeight="1" x14ac:dyDescent="0.3">
      <c r="A12" s="54"/>
      <c r="B12" s="54"/>
      <c r="C12" s="54"/>
      <c r="D12" s="54"/>
      <c r="E12" s="2"/>
    </row>
    <row r="13" spans="1:5" ht="48" customHeight="1" x14ac:dyDescent="0.3">
      <c r="A13" s="88" t="s">
        <v>5</v>
      </c>
      <c r="B13" s="88"/>
      <c r="C13" s="88"/>
      <c r="D13" s="88"/>
      <c r="E13" s="2"/>
    </row>
    <row r="14" spans="1:5" ht="27.75" customHeight="1" x14ac:dyDescent="0.3">
      <c r="A14" s="88" t="s">
        <v>6</v>
      </c>
      <c r="B14" s="88"/>
      <c r="C14" s="88"/>
      <c r="D14" s="88"/>
    </row>
    <row r="15" spans="1:5" x14ac:dyDescent="0.3">
      <c r="A15" s="88" t="s">
        <v>7</v>
      </c>
      <c r="B15" s="88"/>
      <c r="C15" s="88"/>
      <c r="D15" s="88"/>
    </row>
    <row r="16" spans="1:5" ht="15" thickBot="1" x14ac:dyDescent="0.35">
      <c r="A16" s="5"/>
      <c r="B16" s="6" t="s">
        <v>8</v>
      </c>
      <c r="C16" s="5"/>
      <c r="D16" s="5"/>
    </row>
    <row r="17" spans="1:5" ht="15" thickBot="1" x14ac:dyDescent="0.35">
      <c r="A17" s="5" t="s">
        <v>9</v>
      </c>
      <c r="B17" s="55">
        <v>1500000</v>
      </c>
      <c r="C17" s="5"/>
      <c r="D17" s="5"/>
    </row>
    <row r="18" spans="1:5" ht="15" thickBot="1" x14ac:dyDescent="0.35">
      <c r="A18" s="5" t="s">
        <v>10</v>
      </c>
      <c r="B18" s="53">
        <v>3000</v>
      </c>
      <c r="C18" s="5"/>
      <c r="D18" s="5"/>
    </row>
    <row r="19" spans="1:5" ht="15" thickBot="1" x14ac:dyDescent="0.35">
      <c r="A19" s="5" t="s">
        <v>11</v>
      </c>
      <c r="B19" s="53">
        <v>1453</v>
      </c>
      <c r="C19" s="5"/>
      <c r="D19" s="5"/>
      <c r="E19" s="3"/>
    </row>
    <row r="20" spans="1:5" x14ac:dyDescent="0.3">
      <c r="A20" s="5"/>
      <c r="B20" s="11"/>
      <c r="C20" s="5"/>
      <c r="D20" s="12"/>
      <c r="E20" s="3"/>
    </row>
    <row r="21" spans="1:5" x14ac:dyDescent="0.3">
      <c r="A21" s="5"/>
      <c r="B21" s="7" t="s">
        <v>12</v>
      </c>
      <c r="C21" s="13"/>
      <c r="D21" s="14">
        <f>D96+D86</f>
        <v>175177.32982800002</v>
      </c>
      <c r="E21" s="3"/>
    </row>
    <row r="22" spans="1:5" ht="7.5" customHeight="1" x14ac:dyDescent="0.3">
      <c r="A22" s="5"/>
      <c r="B22" s="8"/>
      <c r="C22" s="5"/>
      <c r="D22" s="12"/>
      <c r="E22" s="3"/>
    </row>
    <row r="23" spans="1:5" x14ac:dyDescent="0.3">
      <c r="A23" s="5"/>
      <c r="B23" s="7" t="s">
        <v>13</v>
      </c>
      <c r="C23" s="13"/>
      <c r="D23" s="15">
        <f>$D$96/$B$17</f>
        <v>0.10420980000000001</v>
      </c>
      <c r="E23" s="3"/>
    </row>
    <row r="24" spans="1:5" ht="7.5" customHeight="1" thickBot="1" x14ac:dyDescent="0.35">
      <c r="A24" s="5"/>
      <c r="B24" s="5"/>
      <c r="C24" s="5"/>
      <c r="D24" s="5"/>
    </row>
    <row r="25" spans="1:5" ht="15.6" thickTop="1" thickBot="1" x14ac:dyDescent="0.35">
      <c r="A25" s="61" t="s">
        <v>14</v>
      </c>
      <c r="B25" s="62"/>
      <c r="C25" s="16"/>
      <c r="D25" s="63"/>
    </row>
    <row r="26" spans="1:5" x14ac:dyDescent="0.3">
      <c r="A26" s="64" t="s">
        <v>15</v>
      </c>
      <c r="B26" s="65"/>
      <c r="C26" s="65"/>
      <c r="D26" s="66">
        <f>ROUND(C27,2)</f>
        <v>138.58000000000001</v>
      </c>
    </row>
    <row r="27" spans="1:5" x14ac:dyDescent="0.3">
      <c r="A27" s="67"/>
      <c r="B27" s="5" t="s">
        <v>16</v>
      </c>
      <c r="C27" s="17">
        <v>138.58000000000001</v>
      </c>
      <c r="D27" s="68"/>
    </row>
    <row r="28" spans="1:5" x14ac:dyDescent="0.3">
      <c r="A28" s="69" t="s">
        <v>17</v>
      </c>
      <c r="B28" s="5"/>
      <c r="C28" s="70"/>
      <c r="D28" s="68"/>
    </row>
    <row r="29" spans="1:5" x14ac:dyDescent="0.3">
      <c r="A29" s="85" t="s">
        <v>18</v>
      </c>
      <c r="B29" s="5"/>
      <c r="C29" s="70"/>
      <c r="D29" s="68">
        <f>ROUND(C30,2)</f>
        <v>626.28</v>
      </c>
    </row>
    <row r="30" spans="1:5" x14ac:dyDescent="0.3">
      <c r="A30" s="86"/>
      <c r="B30" s="5" t="s">
        <v>16</v>
      </c>
      <c r="C30" s="72">
        <v>626.28</v>
      </c>
      <c r="D30" s="68"/>
    </row>
    <row r="31" spans="1:5" x14ac:dyDescent="0.3">
      <c r="A31" s="69"/>
      <c r="B31" s="5"/>
      <c r="C31" s="70"/>
      <c r="D31" s="68"/>
    </row>
    <row r="32" spans="1:5" x14ac:dyDescent="0.3">
      <c r="A32" s="73" t="s">
        <v>19</v>
      </c>
      <c r="B32" s="5"/>
      <c r="C32" s="5"/>
      <c r="D32" s="74">
        <f>ROUND(C33*$B$18,2)+ROUND(C34*$B$19,2)</f>
        <v>2569.06</v>
      </c>
    </row>
    <row r="33" spans="1:4" x14ac:dyDescent="0.3">
      <c r="A33" s="73"/>
      <c r="B33" s="5" t="s">
        <v>20</v>
      </c>
      <c r="C33" s="18">
        <v>0.77366405550658801</v>
      </c>
      <c r="D33" s="68"/>
    </row>
    <row r="34" spans="1:4" x14ac:dyDescent="0.3">
      <c r="A34" s="73"/>
      <c r="B34" s="5" t="s">
        <v>21</v>
      </c>
      <c r="C34" s="18">
        <v>0.17072989999999999</v>
      </c>
      <c r="D34" s="68"/>
    </row>
    <row r="35" spans="1:4" x14ac:dyDescent="0.3">
      <c r="A35" s="73"/>
      <c r="B35" s="5"/>
      <c r="C35" s="75"/>
      <c r="D35" s="68"/>
    </row>
    <row r="36" spans="1:4" x14ac:dyDescent="0.3">
      <c r="A36" s="73" t="s">
        <v>22</v>
      </c>
      <c r="B36" s="5"/>
      <c r="C36" s="70"/>
      <c r="D36" s="74">
        <f>IF(B17&lt;833000,ROUND(C37*$B$17,2),ROUND(((833000)*C37)+((B17-833000)*C38),2))</f>
        <v>1608.03</v>
      </c>
    </row>
    <row r="37" spans="1:4" x14ac:dyDescent="0.3">
      <c r="A37" s="73"/>
      <c r="B37" s="5" t="s">
        <v>23</v>
      </c>
      <c r="C37" s="19">
        <v>1.474E-3</v>
      </c>
      <c r="D37" s="74"/>
    </row>
    <row r="38" spans="1:4" x14ac:dyDescent="0.3">
      <c r="A38" s="73"/>
      <c r="B38" s="5" t="s">
        <v>24</v>
      </c>
      <c r="C38" s="19">
        <v>5.6999999999999998E-4</v>
      </c>
      <c r="D38" s="74"/>
    </row>
    <row r="39" spans="1:4" x14ac:dyDescent="0.3">
      <c r="A39" s="73"/>
      <c r="B39" s="5"/>
      <c r="C39" s="5"/>
      <c r="D39" s="74"/>
    </row>
    <row r="40" spans="1:4" x14ac:dyDescent="0.3">
      <c r="A40" s="73" t="s">
        <v>25</v>
      </c>
      <c r="B40" s="5"/>
      <c r="C40" s="5"/>
      <c r="D40" s="74">
        <f>IF(B17&lt;=833000,ROUND(C41*$B$17,2),833000*C41)</f>
        <v>241.99982800000001</v>
      </c>
    </row>
    <row r="41" spans="1:4" x14ac:dyDescent="0.3">
      <c r="A41" s="73"/>
      <c r="B41" s="5" t="s">
        <v>23</v>
      </c>
      <c r="C41" s="18">
        <v>2.9051599999999999E-4</v>
      </c>
      <c r="D41" s="74"/>
    </row>
    <row r="42" spans="1:4" x14ac:dyDescent="0.3">
      <c r="A42" s="73"/>
      <c r="B42" s="5"/>
      <c r="C42" s="76"/>
      <c r="D42" s="74"/>
    </row>
    <row r="43" spans="1:4" x14ac:dyDescent="0.3">
      <c r="A43" s="73" t="s">
        <v>27</v>
      </c>
      <c r="B43" s="5"/>
      <c r="C43" s="5"/>
      <c r="D43" s="74">
        <f>ROUND(C44*$B$17,2)</f>
        <v>0</v>
      </c>
    </row>
    <row r="44" spans="1:4" x14ac:dyDescent="0.3">
      <c r="A44" s="73"/>
      <c r="B44" s="5" t="s">
        <v>26</v>
      </c>
      <c r="C44" s="18">
        <v>0</v>
      </c>
      <c r="D44" s="68"/>
    </row>
    <row r="45" spans="1:4" x14ac:dyDescent="0.3">
      <c r="A45" s="73"/>
      <c r="B45" s="5"/>
      <c r="C45" s="5"/>
      <c r="D45" s="68"/>
    </row>
    <row r="46" spans="1:4" x14ac:dyDescent="0.3">
      <c r="A46" s="73" t="s">
        <v>28</v>
      </c>
      <c r="B46" s="5"/>
      <c r="C46" s="5"/>
      <c r="D46" s="74">
        <f>ROUND(C47*$B$17,2)</f>
        <v>0</v>
      </c>
    </row>
    <row r="47" spans="1:4" x14ac:dyDescent="0.3">
      <c r="A47" s="73"/>
      <c r="B47" s="5" t="s">
        <v>26</v>
      </c>
      <c r="C47" s="18">
        <v>0</v>
      </c>
      <c r="D47" s="74"/>
    </row>
    <row r="48" spans="1:4" x14ac:dyDescent="0.3">
      <c r="A48" s="73"/>
      <c r="B48" s="5"/>
      <c r="C48" s="18"/>
      <c r="D48" s="74"/>
    </row>
    <row r="49" spans="1:7" x14ac:dyDescent="0.3">
      <c r="A49" s="73" t="s">
        <v>29</v>
      </c>
      <c r="B49" s="5"/>
      <c r="C49" s="19"/>
      <c r="D49" s="74">
        <f>IF(B17&gt;833000,ROUND(833000*C50,2),ROUND(C50*$B$17,2))</f>
        <v>1499.98</v>
      </c>
      <c r="E49" s="3"/>
      <c r="G49" s="3"/>
    </row>
    <row r="50" spans="1:7" x14ac:dyDescent="0.3">
      <c r="A50" s="73"/>
      <c r="B50" s="5" t="s">
        <v>23</v>
      </c>
      <c r="C50" s="19">
        <v>1.8006999999999999E-3</v>
      </c>
      <c r="D50" s="68"/>
      <c r="E50" s="3"/>
      <c r="G50" s="3"/>
    </row>
    <row r="51" spans="1:7" x14ac:dyDescent="0.3">
      <c r="A51" s="73"/>
      <c r="B51" s="5"/>
      <c r="C51" s="19"/>
      <c r="D51" s="68"/>
      <c r="E51" s="3"/>
      <c r="G51" s="3"/>
    </row>
    <row r="52" spans="1:7" x14ac:dyDescent="0.3">
      <c r="A52" s="73" t="s">
        <v>30</v>
      </c>
      <c r="B52" s="5"/>
      <c r="C52" s="5"/>
      <c r="D52" s="74">
        <f>IF($B$17&lt;2001,ROUND($B$17*C53,2),IF($B$17&gt;15000,ROUND(2000*C53,2)+ROUND(13000*C54,2)+ROUND(($B$17-15000)*C55,2),ROUND(2000*C53,2)+ROUND(($B$17-2000)*C54,2)))</f>
        <v>5454.3200000000006</v>
      </c>
    </row>
    <row r="53" spans="1:7" x14ac:dyDescent="0.3">
      <c r="A53" s="73"/>
      <c r="B53" s="5" t="s">
        <v>31</v>
      </c>
      <c r="C53" s="18">
        <v>4.6499999999999996E-3</v>
      </c>
      <c r="D53" s="68"/>
      <c r="E53" s="3"/>
    </row>
    <row r="54" spans="1:7" x14ac:dyDescent="0.3">
      <c r="A54" s="73"/>
      <c r="B54" s="5" t="s">
        <v>32</v>
      </c>
      <c r="C54" s="18">
        <v>4.1900000000000001E-3</v>
      </c>
      <c r="D54" s="68"/>
    </row>
    <row r="55" spans="1:7" x14ac:dyDescent="0.3">
      <c r="A55" s="73"/>
      <c r="B55" s="5" t="s">
        <v>33</v>
      </c>
      <c r="C55" s="18">
        <v>3.63E-3</v>
      </c>
      <c r="D55" s="68"/>
    </row>
    <row r="56" spans="1:7" x14ac:dyDescent="0.3">
      <c r="A56" s="77"/>
      <c r="B56" s="8"/>
      <c r="C56" s="5"/>
      <c r="D56" s="68"/>
    </row>
    <row r="57" spans="1:7" x14ac:dyDescent="0.3">
      <c r="A57" s="67" t="s">
        <v>61</v>
      </c>
      <c r="B57" s="5"/>
      <c r="C57" s="5"/>
      <c r="D57" s="68">
        <f>ROUND(C58*(D26+D32),2)</f>
        <v>225.14</v>
      </c>
    </row>
    <row r="58" spans="1:7" x14ac:dyDescent="0.3">
      <c r="A58" s="73"/>
      <c r="B58" s="78" t="s">
        <v>34</v>
      </c>
      <c r="C58" s="60">
        <v>8.3150000000000002E-2</v>
      </c>
      <c r="D58" s="68"/>
    </row>
    <row r="59" spans="1:7" x14ac:dyDescent="0.3">
      <c r="A59" s="73"/>
      <c r="B59" s="78"/>
      <c r="C59" s="60"/>
      <c r="D59" s="68"/>
    </row>
    <row r="60" spans="1:7" x14ac:dyDescent="0.3">
      <c r="A60" s="67" t="s">
        <v>60</v>
      </c>
      <c r="B60" s="78"/>
      <c r="C60" s="60"/>
      <c r="D60" s="74">
        <f>ROUND(C61*$B$17,2)</f>
        <v>0</v>
      </c>
    </row>
    <row r="61" spans="1:7" x14ac:dyDescent="0.3">
      <c r="A61" s="67"/>
      <c r="B61" s="5" t="s">
        <v>26</v>
      </c>
      <c r="C61" s="87">
        <v>0</v>
      </c>
      <c r="D61" s="68"/>
    </row>
    <row r="62" spans="1:7" x14ac:dyDescent="0.3">
      <c r="A62" s="73"/>
      <c r="B62" s="5"/>
      <c r="C62" s="5"/>
      <c r="D62" s="68"/>
    </row>
    <row r="63" spans="1:7" x14ac:dyDescent="0.3">
      <c r="A63" s="67" t="s">
        <v>59</v>
      </c>
      <c r="B63" s="5"/>
      <c r="C63" s="5"/>
      <c r="D63" s="74">
        <f>ROUND(C64,2)</f>
        <v>0</v>
      </c>
    </row>
    <row r="64" spans="1:7" x14ac:dyDescent="0.3">
      <c r="A64" s="67"/>
      <c r="B64" s="5" t="s">
        <v>16</v>
      </c>
      <c r="C64" s="87">
        <v>0</v>
      </c>
      <c r="D64" s="68"/>
    </row>
    <row r="65" spans="1:5" x14ac:dyDescent="0.3">
      <c r="A65" s="67"/>
      <c r="B65" s="5"/>
      <c r="C65" s="87"/>
      <c r="D65" s="68"/>
    </row>
    <row r="66" spans="1:5" x14ac:dyDescent="0.3">
      <c r="A66" s="67" t="s">
        <v>58</v>
      </c>
      <c r="B66" s="5"/>
      <c r="C66" s="87"/>
      <c r="D66" s="68">
        <f>ROUND((D26+D32)*C67,2)</f>
        <v>286.41000000000003</v>
      </c>
    </row>
    <row r="67" spans="1:5" x14ac:dyDescent="0.3">
      <c r="A67" s="67"/>
      <c r="B67" s="78" t="s">
        <v>34</v>
      </c>
      <c r="C67" s="60">
        <v>0.105778</v>
      </c>
      <c r="D67" s="68"/>
    </row>
    <row r="68" spans="1:5" x14ac:dyDescent="0.3">
      <c r="A68" s="67"/>
      <c r="B68" s="5"/>
      <c r="C68" s="5"/>
      <c r="D68" s="68"/>
    </row>
    <row r="69" spans="1:5" x14ac:dyDescent="0.3">
      <c r="A69" s="67" t="s">
        <v>57</v>
      </c>
      <c r="B69" s="5"/>
      <c r="C69" s="5"/>
      <c r="D69" s="68"/>
    </row>
    <row r="70" spans="1:5" x14ac:dyDescent="0.3">
      <c r="A70" s="67"/>
      <c r="B70" s="5"/>
      <c r="C70" s="5"/>
      <c r="D70" s="68"/>
    </row>
    <row r="71" spans="1:5" x14ac:dyDescent="0.3">
      <c r="A71" s="67"/>
      <c r="B71" s="5"/>
      <c r="C71" s="5"/>
      <c r="D71" s="68"/>
    </row>
    <row r="72" spans="1:5" x14ac:dyDescent="0.3">
      <c r="A72" s="67"/>
      <c r="B72" s="5"/>
      <c r="C72" s="18"/>
      <c r="D72" s="74"/>
    </row>
    <row r="73" spans="1:5" x14ac:dyDescent="0.3">
      <c r="A73" s="67" t="s">
        <v>36</v>
      </c>
      <c r="B73" s="5"/>
      <c r="C73" s="18"/>
      <c r="D73" s="74">
        <f>ROUND(C74,2)</f>
        <v>6.34</v>
      </c>
    </row>
    <row r="74" spans="1:5" x14ac:dyDescent="0.3">
      <c r="A74" s="67"/>
      <c r="B74" s="5" t="s">
        <v>37</v>
      </c>
      <c r="C74" s="72">
        <v>6.34</v>
      </c>
      <c r="D74" s="74"/>
    </row>
    <row r="75" spans="1:5" x14ac:dyDescent="0.3">
      <c r="A75" s="67"/>
      <c r="B75" s="5"/>
      <c r="C75" s="18"/>
      <c r="D75" s="74"/>
    </row>
    <row r="76" spans="1:5" x14ac:dyDescent="0.3">
      <c r="A76" s="67" t="s">
        <v>38</v>
      </c>
      <c r="B76" s="5"/>
      <c r="C76" s="5"/>
      <c r="D76" s="74">
        <f>ROUND(C77*$B$18,2)+ROUND(C78*$B$17,2)+ROUND(C79*$B$19,2)</f>
        <v>6258.7800000000007</v>
      </c>
      <c r="E76" s="3"/>
    </row>
    <row r="77" spans="1:5" x14ac:dyDescent="0.3">
      <c r="A77" s="67"/>
      <c r="B77" s="5" t="s">
        <v>20</v>
      </c>
      <c r="C77" s="18">
        <v>1.7395592</v>
      </c>
      <c r="D77" s="74"/>
    </row>
    <row r="78" spans="1:5" x14ac:dyDescent="0.3">
      <c r="A78" s="67"/>
      <c r="B78" s="5" t="s">
        <v>35</v>
      </c>
      <c r="C78" s="18">
        <v>6.9340000000000005E-4</v>
      </c>
      <c r="D78" s="74"/>
    </row>
    <row r="79" spans="1:5" x14ac:dyDescent="0.3">
      <c r="A79" s="67"/>
      <c r="B79" s="5" t="s">
        <v>39</v>
      </c>
      <c r="C79" s="18">
        <v>0</v>
      </c>
      <c r="D79" s="74"/>
    </row>
    <row r="80" spans="1:5" x14ac:dyDescent="0.3">
      <c r="A80" s="67"/>
      <c r="B80" s="5"/>
      <c r="C80" s="18"/>
      <c r="D80" s="74"/>
    </row>
    <row r="81" spans="1:6" x14ac:dyDescent="0.3">
      <c r="A81" s="67" t="s">
        <v>40</v>
      </c>
      <c r="B81" s="5"/>
      <c r="C81" s="18"/>
      <c r="D81" s="59">
        <f>ROUND((D26+D32)*C82,2)</f>
        <v>-52.29</v>
      </c>
    </row>
    <row r="82" spans="1:6" x14ac:dyDescent="0.3">
      <c r="A82" s="73"/>
      <c r="B82" s="5" t="s">
        <v>34</v>
      </c>
      <c r="C82" s="56">
        <v>-1.9311999999999999E-2</v>
      </c>
      <c r="D82" s="74"/>
    </row>
    <row r="83" spans="1:6" x14ac:dyDescent="0.3">
      <c r="A83" s="67"/>
      <c r="B83" s="5"/>
      <c r="C83" s="18"/>
      <c r="D83" s="74"/>
    </row>
    <row r="84" spans="1:6" x14ac:dyDescent="0.3">
      <c r="A84" s="79" t="s">
        <v>41</v>
      </c>
      <c r="B84" s="5"/>
      <c r="C84" s="18"/>
      <c r="D84" s="80">
        <f>SUM(D29:D81)</f>
        <v>18724.049828000003</v>
      </c>
    </row>
    <row r="85" spans="1:6" x14ac:dyDescent="0.3">
      <c r="A85" s="69"/>
      <c r="B85" s="5"/>
      <c r="C85" s="18"/>
      <c r="D85" s="74"/>
    </row>
    <row r="86" spans="1:6" ht="15" thickBot="1" x14ac:dyDescent="0.35">
      <c r="A86" s="81" t="s">
        <v>42</v>
      </c>
      <c r="B86" s="82"/>
      <c r="C86" s="83"/>
      <c r="D86" s="84">
        <f>SUM(D84+D26)</f>
        <v>18862.629828000005</v>
      </c>
    </row>
    <row r="87" spans="1:6" x14ac:dyDescent="0.3">
      <c r="A87" s="8"/>
      <c r="B87" s="8"/>
      <c r="C87" s="5"/>
      <c r="D87" s="10"/>
    </row>
    <row r="88" spans="1:6" x14ac:dyDescent="0.3">
      <c r="A88" s="8"/>
      <c r="B88" s="8"/>
      <c r="C88" s="5"/>
      <c r="D88" s="10"/>
    </row>
    <row r="89" spans="1:6" x14ac:dyDescent="0.3">
      <c r="A89" s="8"/>
      <c r="B89" s="8"/>
      <c r="C89" s="5"/>
      <c r="D89" s="10"/>
    </row>
    <row r="90" spans="1:6" x14ac:dyDescent="0.3">
      <c r="A90" s="8"/>
      <c r="B90" s="8"/>
      <c r="C90" s="5"/>
      <c r="D90" s="10"/>
    </row>
    <row r="91" spans="1:6" ht="15" thickBot="1" x14ac:dyDescent="0.35">
      <c r="A91" s="8"/>
      <c r="B91" s="8"/>
      <c r="C91" s="5"/>
      <c r="D91" s="10"/>
    </row>
    <row r="92" spans="1:6" ht="15.6" thickTop="1" thickBot="1" x14ac:dyDescent="0.35">
      <c r="A92" s="36" t="s">
        <v>43</v>
      </c>
      <c r="B92" s="37"/>
      <c r="C92" s="38"/>
      <c r="D92" s="39"/>
    </row>
    <row r="93" spans="1:6" ht="15" thickTop="1" x14ac:dyDescent="0.3">
      <c r="A93" s="25" t="s">
        <v>44</v>
      </c>
      <c r="B93" s="26"/>
      <c r="C93" s="26"/>
      <c r="D93" s="27">
        <f>ROUND(C94*$B$17,2)</f>
        <v>156314.70000000001</v>
      </c>
    </row>
    <row r="94" spans="1:6" x14ac:dyDescent="0.3">
      <c r="A94" s="29"/>
      <c r="B94" s="5" t="s">
        <v>35</v>
      </c>
      <c r="C94" s="18">
        <v>0.10420980000000001</v>
      </c>
      <c r="D94" s="28"/>
    </row>
    <row r="95" spans="1:6" x14ac:dyDescent="0.3">
      <c r="A95" s="30"/>
      <c r="B95" s="5"/>
      <c r="C95" s="18"/>
      <c r="D95" s="28"/>
      <c r="F95" s="4"/>
    </row>
    <row r="96" spans="1:6" ht="15" thickBot="1" x14ac:dyDescent="0.35">
      <c r="A96" s="31" t="s">
        <v>45</v>
      </c>
      <c r="B96" s="32"/>
      <c r="C96" s="33"/>
      <c r="D96" s="34">
        <f>SUM(D93)</f>
        <v>156314.70000000001</v>
      </c>
      <c r="F96" s="4"/>
    </row>
    <row r="97" spans="1:6" ht="15" thickTop="1" x14ac:dyDescent="0.3">
      <c r="A97" s="20"/>
      <c r="B97" s="8"/>
      <c r="C97" s="35"/>
      <c r="D97" s="21"/>
      <c r="F97" s="4"/>
    </row>
    <row r="98" spans="1:6" ht="15" thickBot="1" x14ac:dyDescent="0.35">
      <c r="A98" s="22" t="s">
        <v>46</v>
      </c>
      <c r="B98" s="23"/>
      <c r="C98" s="23"/>
      <c r="D98" s="24">
        <f>D96+D86</f>
        <v>175177.32982800002</v>
      </c>
    </row>
    <row r="99" spans="1:6" ht="15.6" thickTop="1" thickBot="1" x14ac:dyDescent="0.35">
      <c r="A99" s="8"/>
      <c r="B99" s="8"/>
      <c r="C99" s="5"/>
      <c r="D99" s="9"/>
      <c r="E99" s="3"/>
      <c r="F99" s="3"/>
    </row>
    <row r="100" spans="1:6" ht="15" thickTop="1" x14ac:dyDescent="0.3">
      <c r="A100" s="8"/>
      <c r="B100" s="89" t="s">
        <v>47</v>
      </c>
      <c r="C100" s="90"/>
      <c r="D100" s="91"/>
    </row>
    <row r="101" spans="1:6" x14ac:dyDescent="0.3">
      <c r="A101" s="5"/>
      <c r="B101" s="40"/>
      <c r="C101" s="5"/>
      <c r="D101" s="41"/>
    </row>
    <row r="102" spans="1:6" x14ac:dyDescent="0.3">
      <c r="A102" s="5"/>
      <c r="B102" s="42" t="s">
        <v>14</v>
      </c>
      <c r="C102" s="43"/>
      <c r="D102" s="41"/>
    </row>
    <row r="103" spans="1:6" x14ac:dyDescent="0.3">
      <c r="A103" s="5"/>
      <c r="B103" s="44" t="s">
        <v>48</v>
      </c>
      <c r="C103" s="5"/>
      <c r="D103" s="45">
        <f>D26</f>
        <v>138.58000000000001</v>
      </c>
    </row>
    <row r="104" spans="1:6" x14ac:dyDescent="0.3">
      <c r="A104" s="5"/>
      <c r="B104" s="44" t="s">
        <v>49</v>
      </c>
      <c r="C104" s="5"/>
      <c r="D104" s="45">
        <f>D84</f>
        <v>18724.049828000003</v>
      </c>
    </row>
    <row r="105" spans="1:6" x14ac:dyDescent="0.3">
      <c r="A105" s="5"/>
      <c r="B105" s="46" t="s">
        <v>42</v>
      </c>
      <c r="C105" s="8"/>
      <c r="D105" s="47">
        <f>D86</f>
        <v>18862.629828000005</v>
      </c>
    </row>
    <row r="106" spans="1:6" x14ac:dyDescent="0.3">
      <c r="A106" s="5"/>
      <c r="B106" s="48"/>
      <c r="C106" s="5"/>
      <c r="D106" s="45"/>
    </row>
    <row r="107" spans="1:6" x14ac:dyDescent="0.3">
      <c r="A107" s="5"/>
      <c r="B107" s="50" t="s">
        <v>50</v>
      </c>
      <c r="C107" s="5"/>
      <c r="D107" s="45"/>
    </row>
    <row r="108" spans="1:6" ht="15" thickBot="1" x14ac:dyDescent="0.35">
      <c r="A108" s="5"/>
      <c r="B108" s="51" t="s">
        <v>45</v>
      </c>
      <c r="C108" s="49"/>
      <c r="D108" s="52">
        <f>D96</f>
        <v>156314.70000000001</v>
      </c>
    </row>
    <row r="109" spans="1:6" ht="15" thickTop="1" x14ac:dyDescent="0.3">
      <c r="A109" s="3"/>
    </row>
    <row r="110" spans="1:6" x14ac:dyDescent="0.3">
      <c r="A110" s="3"/>
    </row>
    <row r="113" spans="1:2" x14ac:dyDescent="0.3">
      <c r="A113" s="3"/>
      <c r="B113" s="3"/>
    </row>
  </sheetData>
  <sheetProtection algorithmName="SHA-512" hashValue="LqtAi98x1g9ToFHdmifHAG+TFNLnYBjXQ0IY8omnENTEPP4U0U+QsevAvszu1B+qsn5VZKmL/t1qzINTzU5grA==" saltValue="h/kJYjYT1O1COmOF4LZYWg==" spinCount="100000" sheet="1" selectLockedCells="1"/>
  <mergeCells count="8">
    <mergeCell ref="A14:D14"/>
    <mergeCell ref="A15:D15"/>
    <mergeCell ref="B100:D100"/>
    <mergeCell ref="A1:D1"/>
    <mergeCell ref="A2:D2"/>
    <mergeCell ref="A5:D5"/>
    <mergeCell ref="A6:D6"/>
    <mergeCell ref="A13:D13"/>
  </mergeCells>
  <conditionalFormatting sqref="C81:C82">
    <cfRule type="cellIs" dxfId="14" priority="5" operator="lessThan">
      <formula>0</formula>
    </cfRule>
  </conditionalFormatting>
  <conditionalFormatting sqref="C83">
    <cfRule type="cellIs" dxfId="13" priority="6" operator="lessThan">
      <formula>0</formula>
    </cfRule>
    <cfRule type="cellIs" dxfId="12" priority="7" operator="lessThan">
      <formula>0</formula>
    </cfRule>
  </conditionalFormatting>
  <conditionalFormatting sqref="C1:D2 C3 C4:D14 D82:D83 C84:D99 C101:D65542">
    <cfRule type="cellIs" dxfId="11" priority="12" operator="lessThan">
      <formula>0</formula>
    </cfRule>
  </conditionalFormatting>
  <conditionalFormatting sqref="C16:D80">
    <cfRule type="cellIs" dxfId="10" priority="1" operator="lessThan">
      <formula>0</formula>
    </cfRule>
  </conditionalFormatting>
  <conditionalFormatting sqref="D81">
    <cfRule type="cellIs" dxfId="9" priority="3" operator="lessThan">
      <formula>0</formula>
    </cfRule>
    <cfRule type="cellIs" dxfId="8" priority="4" operator="lessThan">
      <formula>0</formula>
    </cfRule>
  </conditionalFormatting>
  <dataValidations count="1">
    <dataValidation type="decimal" errorStyle="information" allowBlank="1" showErrorMessage="1" errorTitle="Invalid Entry" error="This cell must contain a positive number._x000a_" sqref="B17:B19" xr:uid="{00000000-0002-0000-0000-000000000000}">
      <formula1>0</formula1>
      <formula2>100000000</formula2>
    </dataValidation>
  </dataValidations>
  <printOptions horizontalCentered="1"/>
  <pageMargins left="0.7" right="0.7" top="0.75" bottom="0.75" header="0.3" footer="0.3"/>
  <pageSetup scale="77" orientation="portrait" r:id="rId1"/>
  <headerFooter>
    <oddHeader xml:space="preserve">&amp;L&amp;G&amp;R&amp;"Arial,Regular"Effective April 1, 2024
</oddHeader>
    <oddFooter>&amp;L&amp;"Arial,Regular"Worksheet valid for calculating bills starting on April 1, 2024.</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7"/>
  <sheetViews>
    <sheetView showGridLines="0" showRowColHeaders="0" showRuler="0" view="pageLayout" zoomScale="90" zoomScaleNormal="90" zoomScaleSheetLayoutView="100" zoomScalePageLayoutView="90" workbookViewId="0">
      <selection activeCell="B19" sqref="B19"/>
    </sheetView>
  </sheetViews>
  <sheetFormatPr defaultColWidth="9.109375" defaultRowHeight="14.4" x14ac:dyDescent="0.3"/>
  <cols>
    <col min="1" max="1" width="29.6640625" customWidth="1"/>
    <col min="2" max="2" width="50" customWidth="1"/>
    <col min="3" max="3" width="14.109375" bestFit="1" customWidth="1"/>
    <col min="4" max="4" width="14" bestFit="1" customWidth="1"/>
    <col min="5" max="5" width="53" customWidth="1"/>
    <col min="6" max="6" width="53.6640625" bestFit="1" customWidth="1"/>
  </cols>
  <sheetData>
    <row r="1" spans="1:5" ht="21" x14ac:dyDescent="0.4">
      <c r="A1" s="92" t="s">
        <v>0</v>
      </c>
      <c r="B1" s="92"/>
      <c r="C1" s="92"/>
      <c r="D1" s="92"/>
      <c r="E1" s="1"/>
    </row>
    <row r="2" spans="1:5" ht="17.399999999999999" x14ac:dyDescent="0.3">
      <c r="A2" s="93" t="s">
        <v>51</v>
      </c>
      <c r="B2" s="93"/>
      <c r="C2" s="93"/>
      <c r="D2" s="93"/>
      <c r="E2" s="1"/>
    </row>
    <row r="3" spans="1:5" x14ac:dyDescent="0.3">
      <c r="A3" s="5"/>
      <c r="B3" s="5"/>
      <c r="C3" s="5"/>
      <c r="D3" s="5"/>
    </row>
    <row r="4" spans="1:5" x14ac:dyDescent="0.3">
      <c r="A4" s="5" t="s">
        <v>2</v>
      </c>
      <c r="B4" s="5"/>
      <c r="C4" s="5"/>
      <c r="D4" s="5"/>
    </row>
    <row r="5" spans="1:5" ht="28.5" customHeight="1" x14ac:dyDescent="0.3">
      <c r="A5" s="88" t="s">
        <v>3</v>
      </c>
      <c r="B5" s="88"/>
      <c r="C5" s="88"/>
      <c r="D5" s="88"/>
      <c r="E5" s="2"/>
    </row>
    <row r="6" spans="1:5" ht="15" customHeight="1" x14ac:dyDescent="0.3">
      <c r="A6" s="88" t="s">
        <v>4</v>
      </c>
      <c r="B6" s="88"/>
      <c r="C6" s="88"/>
      <c r="D6" s="88"/>
      <c r="E6" s="2"/>
    </row>
    <row r="7" spans="1:5" ht="48.75" customHeight="1" x14ac:dyDescent="0.3">
      <c r="A7" s="94" t="s">
        <v>52</v>
      </c>
      <c r="B7" s="94"/>
      <c r="C7" s="94"/>
      <c r="D7" s="94"/>
      <c r="E7" s="2"/>
    </row>
    <row r="8" spans="1:5" ht="15" customHeight="1" x14ac:dyDescent="0.3">
      <c r="A8" s="54"/>
      <c r="B8" s="54"/>
      <c r="C8" s="54"/>
      <c r="D8" s="54"/>
      <c r="E8" s="2"/>
    </row>
    <row r="9" spans="1:5" ht="15" customHeight="1" x14ac:dyDescent="0.3">
      <c r="A9" s="54"/>
      <c r="B9" s="54"/>
      <c r="C9" s="54"/>
      <c r="D9" s="54"/>
      <c r="E9" s="2"/>
    </row>
    <row r="10" spans="1:5" ht="15" customHeight="1" x14ac:dyDescent="0.3">
      <c r="A10" s="54"/>
      <c r="B10" s="54"/>
      <c r="C10" s="54"/>
      <c r="D10" s="54"/>
      <c r="E10" s="2"/>
    </row>
    <row r="11" spans="1:5" ht="15" customHeight="1" x14ac:dyDescent="0.3">
      <c r="A11" s="54"/>
      <c r="B11" s="54"/>
      <c r="C11" s="54"/>
      <c r="D11" s="54"/>
      <c r="E11" s="2"/>
    </row>
    <row r="12" spans="1:5" ht="15" customHeight="1" x14ac:dyDescent="0.3">
      <c r="A12" s="54"/>
      <c r="B12" s="54"/>
      <c r="C12" s="54"/>
      <c r="D12" s="54"/>
      <c r="E12" s="2"/>
    </row>
    <row r="13" spans="1:5" ht="15" customHeight="1" x14ac:dyDescent="0.3">
      <c r="A13" s="54"/>
      <c r="B13" s="54"/>
      <c r="C13" s="54"/>
      <c r="D13" s="54"/>
      <c r="E13" s="2"/>
    </row>
    <row r="14" spans="1:5" ht="29.25" customHeight="1" x14ac:dyDescent="0.3">
      <c r="A14" s="88" t="s">
        <v>53</v>
      </c>
      <c r="B14" s="88"/>
      <c r="C14" s="88"/>
      <c r="D14" s="88"/>
      <c r="E14" s="2"/>
    </row>
    <row r="15" spans="1:5" ht="27.75" customHeight="1" x14ac:dyDescent="0.3">
      <c r="A15" s="88" t="s">
        <v>6</v>
      </c>
      <c r="B15" s="88"/>
      <c r="C15" s="88"/>
      <c r="D15" s="88"/>
    </row>
    <row r="16" spans="1:5" x14ac:dyDescent="0.3">
      <c r="A16" s="88" t="s">
        <v>7</v>
      </c>
      <c r="B16" s="88"/>
      <c r="C16" s="88"/>
      <c r="D16" s="88"/>
    </row>
    <row r="17" spans="1:5" ht="15" thickBot="1" x14ac:dyDescent="0.35">
      <c r="A17" s="5"/>
      <c r="B17" s="6" t="s">
        <v>8</v>
      </c>
      <c r="C17" s="5"/>
      <c r="D17" s="5"/>
    </row>
    <row r="18" spans="1:5" ht="15" thickBot="1" x14ac:dyDescent="0.35">
      <c r="A18" s="5" t="s">
        <v>54</v>
      </c>
      <c r="B18" s="55">
        <v>1500000</v>
      </c>
      <c r="C18" s="5"/>
      <c r="D18" s="5"/>
    </row>
    <row r="19" spans="1:5" ht="15" thickBot="1" x14ac:dyDescent="0.35">
      <c r="A19" s="5" t="s">
        <v>55</v>
      </c>
      <c r="B19" s="57"/>
      <c r="C19" s="5"/>
      <c r="D19" s="5"/>
    </row>
    <row r="20" spans="1:5" ht="15" thickBot="1" x14ac:dyDescent="0.35">
      <c r="A20" s="5" t="s">
        <v>56</v>
      </c>
      <c r="B20" s="58">
        <f>B18-B19</f>
        <v>1500000</v>
      </c>
      <c r="C20" s="5"/>
      <c r="D20" s="5"/>
    </row>
    <row r="21" spans="1:5" ht="15" thickBot="1" x14ac:dyDescent="0.35">
      <c r="A21" s="5" t="s">
        <v>10</v>
      </c>
      <c r="B21" s="53">
        <v>3000</v>
      </c>
      <c r="C21" s="5"/>
      <c r="D21" s="5"/>
    </row>
    <row r="22" spans="1:5" ht="15" thickBot="1" x14ac:dyDescent="0.35">
      <c r="A22" s="5" t="s">
        <v>11</v>
      </c>
      <c r="B22" s="53">
        <v>1453</v>
      </c>
      <c r="C22" s="5"/>
      <c r="D22" s="5"/>
      <c r="E22" s="3"/>
    </row>
    <row r="23" spans="1:5" x14ac:dyDescent="0.3">
      <c r="A23" s="5"/>
      <c r="B23" s="11"/>
      <c r="C23" s="5"/>
      <c r="D23" s="12"/>
      <c r="E23" s="3"/>
    </row>
    <row r="24" spans="1:5" x14ac:dyDescent="0.3">
      <c r="A24" s="5"/>
      <c r="B24" s="7" t="s">
        <v>12</v>
      </c>
      <c r="C24" s="13"/>
      <c r="D24" s="14">
        <f>D100+D90</f>
        <v>175177.32982800002</v>
      </c>
      <c r="E24" s="3"/>
    </row>
    <row r="25" spans="1:5" ht="7.5" customHeight="1" x14ac:dyDescent="0.3">
      <c r="A25" s="5"/>
      <c r="B25" s="8"/>
      <c r="C25" s="5"/>
      <c r="D25" s="12"/>
      <c r="E25" s="3"/>
    </row>
    <row r="26" spans="1:5" x14ac:dyDescent="0.3">
      <c r="A26" s="5"/>
      <c r="B26" s="7" t="s">
        <v>13</v>
      </c>
      <c r="C26" s="13"/>
      <c r="D26" s="15">
        <f>IF(B20&lt;0,-($D$100/$B$20),($D$100/$B$20))</f>
        <v>0.10420980000000001</v>
      </c>
      <c r="E26" s="3"/>
    </row>
    <row r="27" spans="1:5" ht="7.5" customHeight="1" thickBot="1" x14ac:dyDescent="0.35">
      <c r="A27" s="5"/>
      <c r="B27" s="5"/>
      <c r="C27" s="5"/>
      <c r="D27" s="5"/>
    </row>
    <row r="28" spans="1:5" ht="15.6" thickTop="1" thickBot="1" x14ac:dyDescent="0.35">
      <c r="A28" s="61" t="s">
        <v>14</v>
      </c>
      <c r="B28" s="62"/>
      <c r="C28" s="16"/>
      <c r="D28" s="63"/>
    </row>
    <row r="29" spans="1:5" x14ac:dyDescent="0.3">
      <c r="A29" s="64" t="s">
        <v>15</v>
      </c>
      <c r="B29" s="65"/>
      <c r="C29" s="65"/>
      <c r="D29" s="66">
        <f>ROUND(C30,2)</f>
        <v>138.58000000000001</v>
      </c>
    </row>
    <row r="30" spans="1:5" x14ac:dyDescent="0.3">
      <c r="A30" s="67"/>
      <c r="B30" s="5" t="s">
        <v>16</v>
      </c>
      <c r="C30" s="17">
        <f>'188'!C27</f>
        <v>138.58000000000001</v>
      </c>
      <c r="D30" s="68"/>
    </row>
    <row r="31" spans="1:5" x14ac:dyDescent="0.3">
      <c r="A31" s="69" t="s">
        <v>17</v>
      </c>
      <c r="B31" s="5"/>
      <c r="C31" s="70"/>
      <c r="D31" s="68"/>
    </row>
    <row r="32" spans="1:5" ht="15.6" x14ac:dyDescent="0.3">
      <c r="A32" s="85" t="s">
        <v>62</v>
      </c>
      <c r="B32" s="71"/>
      <c r="C32" s="70"/>
      <c r="D32" s="68">
        <f>ROUND(C33,2)</f>
        <v>626.28</v>
      </c>
    </row>
    <row r="33" spans="1:4" ht="15.6" x14ac:dyDescent="0.3">
      <c r="A33" s="86"/>
      <c r="B33" s="71" t="s">
        <v>16</v>
      </c>
      <c r="C33" s="72">
        <v>626.28</v>
      </c>
      <c r="D33" s="68"/>
    </row>
    <row r="34" spans="1:4" ht="15.6" x14ac:dyDescent="0.3">
      <c r="A34" s="69"/>
      <c r="B34" s="71"/>
      <c r="C34" s="70"/>
      <c r="D34" s="68"/>
    </row>
    <row r="35" spans="1:4" x14ac:dyDescent="0.3">
      <c r="A35" s="73" t="s">
        <v>19</v>
      </c>
      <c r="B35" s="5"/>
      <c r="C35" s="5"/>
      <c r="D35" s="74">
        <f>ROUND(C36*$B$21,2)+ROUND(C37*$B$22,2)</f>
        <v>2569.06</v>
      </c>
    </row>
    <row r="36" spans="1:4" x14ac:dyDescent="0.3">
      <c r="A36" s="73"/>
      <c r="B36" s="5" t="s">
        <v>20</v>
      </c>
      <c r="C36" s="18">
        <v>0.77366405550658801</v>
      </c>
      <c r="D36" s="68"/>
    </row>
    <row r="37" spans="1:4" x14ac:dyDescent="0.3">
      <c r="A37" s="73"/>
      <c r="B37" s="5" t="s">
        <v>21</v>
      </c>
      <c r="C37" s="18">
        <v>0.17072989999999999</v>
      </c>
      <c r="D37" s="68"/>
    </row>
    <row r="38" spans="1:4" x14ac:dyDescent="0.3">
      <c r="A38" s="73"/>
      <c r="B38" s="5"/>
      <c r="C38" s="75"/>
      <c r="D38" s="68"/>
    </row>
    <row r="39" spans="1:4" x14ac:dyDescent="0.3">
      <c r="A39" s="73" t="s">
        <v>22</v>
      </c>
      <c r="B39" s="5"/>
      <c r="C39" s="70"/>
      <c r="D39" s="74">
        <f>IF(B20&lt;0,0,IF(B20&lt;833000,ROUND(C40*$B$20,2),ROUND(((833000)*C40)+((B20-833000)*C41),2)))</f>
        <v>1608.03</v>
      </c>
    </row>
    <row r="40" spans="1:4" x14ac:dyDescent="0.3">
      <c r="A40" s="73"/>
      <c r="B40" s="5" t="s">
        <v>23</v>
      </c>
      <c r="C40" s="19">
        <f>'188'!C37</f>
        <v>1.474E-3</v>
      </c>
      <c r="D40" s="74"/>
    </row>
    <row r="41" spans="1:4" x14ac:dyDescent="0.3">
      <c r="A41" s="73"/>
      <c r="B41" s="5" t="s">
        <v>24</v>
      </c>
      <c r="C41" s="19">
        <f>'188'!C38</f>
        <v>5.6999999999999998E-4</v>
      </c>
      <c r="D41" s="74"/>
    </row>
    <row r="42" spans="1:4" x14ac:dyDescent="0.3">
      <c r="A42" s="73"/>
      <c r="B42" s="5"/>
      <c r="C42" s="5"/>
      <c r="D42" s="74"/>
    </row>
    <row r="43" spans="1:4" x14ac:dyDescent="0.3">
      <c r="A43" s="73" t="s">
        <v>25</v>
      </c>
      <c r="B43" s="5"/>
      <c r="C43" s="5"/>
      <c r="D43" s="74">
        <f>IF(B20&lt;0,0,IF(B18&lt;=833000,ROUND(C44*$B$18,2),833000*C44))</f>
        <v>241.99982800000001</v>
      </c>
    </row>
    <row r="44" spans="1:4" x14ac:dyDescent="0.3">
      <c r="A44" s="73"/>
      <c r="B44" s="5" t="s">
        <v>23</v>
      </c>
      <c r="C44" s="18">
        <f>'188'!C41</f>
        <v>2.9051599999999999E-4</v>
      </c>
      <c r="D44" s="74"/>
    </row>
    <row r="45" spans="1:4" x14ac:dyDescent="0.3">
      <c r="A45" s="73"/>
      <c r="B45" s="5"/>
      <c r="C45" s="76"/>
      <c r="D45" s="74"/>
    </row>
    <row r="46" spans="1:4" x14ac:dyDescent="0.3">
      <c r="A46" s="73" t="s">
        <v>27</v>
      </c>
      <c r="B46" s="5"/>
      <c r="C46" s="5"/>
      <c r="D46" s="74">
        <f>IF(B20&lt;0,0,ROUND(C47*$B$20,2))</f>
        <v>0</v>
      </c>
    </row>
    <row r="47" spans="1:4" x14ac:dyDescent="0.3">
      <c r="A47" s="73"/>
      <c r="B47" s="5" t="s">
        <v>26</v>
      </c>
      <c r="C47" s="18">
        <f>'188'!C44</f>
        <v>0</v>
      </c>
      <c r="D47" s="68"/>
    </row>
    <row r="48" spans="1:4" x14ac:dyDescent="0.3">
      <c r="A48" s="73"/>
      <c r="B48" s="5"/>
      <c r="C48" s="5"/>
      <c r="D48" s="68"/>
    </row>
    <row r="49" spans="1:7" x14ac:dyDescent="0.3">
      <c r="A49" s="73" t="s">
        <v>28</v>
      </c>
      <c r="B49" s="5"/>
      <c r="C49" s="5"/>
      <c r="D49" s="74">
        <f>IF(B20&lt;0,0,ROUND(C50*$B$20,2))</f>
        <v>0</v>
      </c>
    </row>
    <row r="50" spans="1:7" x14ac:dyDescent="0.3">
      <c r="A50" s="73"/>
      <c r="B50" s="5" t="s">
        <v>26</v>
      </c>
      <c r="C50" s="18">
        <f>'188'!C47</f>
        <v>0</v>
      </c>
      <c r="D50" s="74"/>
    </row>
    <row r="51" spans="1:7" x14ac:dyDescent="0.3">
      <c r="A51" s="73"/>
      <c r="B51" s="5"/>
      <c r="C51" s="18"/>
      <c r="D51" s="74"/>
    </row>
    <row r="52" spans="1:7" x14ac:dyDescent="0.3">
      <c r="A52" s="73" t="s">
        <v>29</v>
      </c>
      <c r="B52" s="5"/>
      <c r="C52" s="19"/>
      <c r="D52" s="74">
        <f>IF(B20&lt;0,0,IF(B20&gt;833000,ROUND(833000*C53,2),ROUND(C53*$B$20,2)))</f>
        <v>1499.98</v>
      </c>
      <c r="E52" s="3"/>
      <c r="G52" s="3"/>
    </row>
    <row r="53" spans="1:7" x14ac:dyDescent="0.3">
      <c r="A53" s="73"/>
      <c r="B53" s="5" t="s">
        <v>23</v>
      </c>
      <c r="C53" s="19">
        <f>'188'!C50</f>
        <v>1.8006999999999999E-3</v>
      </c>
      <c r="D53" s="68"/>
      <c r="E53" s="3"/>
      <c r="G53" s="3"/>
    </row>
    <row r="54" spans="1:7" x14ac:dyDescent="0.3">
      <c r="A54" s="73"/>
      <c r="B54" s="5"/>
      <c r="C54" s="19"/>
      <c r="D54" s="68"/>
      <c r="E54" s="3"/>
      <c r="G54" s="3"/>
    </row>
    <row r="55" spans="1:7" x14ac:dyDescent="0.3">
      <c r="A55" s="73" t="s">
        <v>30</v>
      </c>
      <c r="B55" s="5"/>
      <c r="C55" s="5"/>
      <c r="D55" s="74">
        <f>IF(B20&lt;0,0,IF($B$20&lt;2001,ROUND($B$20*C56,2),IF($B$20&gt;15000,ROUND(2000*C56,2)+ROUND(13000*C57,2)+ROUND(($B$20-15000)*C58,2),ROUND(2000*C56,2)+ROUND(($B$20-2000)*C57,2))))</f>
        <v>5454.3200000000006</v>
      </c>
    </row>
    <row r="56" spans="1:7" x14ac:dyDescent="0.3">
      <c r="A56" s="73"/>
      <c r="B56" s="5" t="s">
        <v>31</v>
      </c>
      <c r="C56" s="18">
        <f>'188'!C53</f>
        <v>4.6499999999999996E-3</v>
      </c>
      <c r="D56" s="68"/>
      <c r="E56" s="3"/>
    </row>
    <row r="57" spans="1:7" x14ac:dyDescent="0.3">
      <c r="A57" s="73"/>
      <c r="B57" s="5" t="s">
        <v>32</v>
      </c>
      <c r="C57" s="18">
        <f>'188'!C54</f>
        <v>4.1900000000000001E-3</v>
      </c>
      <c r="D57" s="68"/>
    </row>
    <row r="58" spans="1:7" x14ac:dyDescent="0.3">
      <c r="A58" s="73"/>
      <c r="B58" s="5" t="s">
        <v>33</v>
      </c>
      <c r="C58" s="18">
        <f>'188'!C55</f>
        <v>3.63E-3</v>
      </c>
      <c r="D58" s="68"/>
    </row>
    <row r="59" spans="1:7" x14ac:dyDescent="0.3">
      <c r="A59" s="77"/>
      <c r="B59" s="8"/>
      <c r="C59" s="5"/>
      <c r="D59" s="68"/>
    </row>
    <row r="60" spans="1:7" x14ac:dyDescent="0.3">
      <c r="A60" s="67" t="s">
        <v>61</v>
      </c>
      <c r="B60" s="5"/>
      <c r="C60" s="5"/>
      <c r="D60" s="68">
        <f>ROUND(C61*(D29+D35),2)</f>
        <v>225.14</v>
      </c>
    </row>
    <row r="61" spans="1:7" x14ac:dyDescent="0.3">
      <c r="A61" s="73"/>
      <c r="B61" s="78" t="s">
        <v>34</v>
      </c>
      <c r="C61" s="56">
        <f>'188'!C58</f>
        <v>8.3150000000000002E-2</v>
      </c>
      <c r="D61" s="68"/>
    </row>
    <row r="62" spans="1:7" x14ac:dyDescent="0.3">
      <c r="A62" s="73"/>
      <c r="B62" s="78"/>
      <c r="C62" s="56"/>
      <c r="D62" s="68"/>
    </row>
    <row r="63" spans="1:7" x14ac:dyDescent="0.3">
      <c r="A63" s="67" t="s">
        <v>60</v>
      </c>
      <c r="B63" s="78"/>
      <c r="C63" s="56"/>
      <c r="D63" s="74">
        <f>IF($B$20&lt;0,0,ROUND(C64*$B$20,2))</f>
        <v>0</v>
      </c>
    </row>
    <row r="64" spans="1:7" x14ac:dyDescent="0.3">
      <c r="A64" s="67"/>
      <c r="B64" s="5" t="s">
        <v>26</v>
      </c>
      <c r="C64" s="87">
        <v>0</v>
      </c>
      <c r="D64" s="68"/>
    </row>
    <row r="65" spans="1:5" x14ac:dyDescent="0.3">
      <c r="A65" s="73"/>
      <c r="B65" s="5"/>
      <c r="C65" s="5"/>
      <c r="D65" s="68"/>
    </row>
    <row r="66" spans="1:5" x14ac:dyDescent="0.3">
      <c r="A66" s="67" t="s">
        <v>59</v>
      </c>
      <c r="B66" s="5"/>
      <c r="C66" s="5"/>
      <c r="D66" s="74">
        <f>ROUND(C67,2)</f>
        <v>0</v>
      </c>
    </row>
    <row r="67" spans="1:5" x14ac:dyDescent="0.3">
      <c r="A67" s="67"/>
      <c r="B67" s="5" t="s">
        <v>16</v>
      </c>
      <c r="C67" s="87">
        <v>0</v>
      </c>
      <c r="D67" s="68"/>
    </row>
    <row r="68" spans="1:5" x14ac:dyDescent="0.3">
      <c r="A68" s="67"/>
      <c r="B68" s="5"/>
      <c r="C68" s="87"/>
      <c r="D68" s="68"/>
    </row>
    <row r="69" spans="1:5" x14ac:dyDescent="0.3">
      <c r="A69" s="67" t="s">
        <v>58</v>
      </c>
      <c r="B69" s="5"/>
      <c r="C69" s="87"/>
      <c r="D69" s="68">
        <f>ROUND((D29+D35)*C70,2)</f>
        <v>286.41000000000003</v>
      </c>
    </row>
    <row r="70" spans="1:5" x14ac:dyDescent="0.3">
      <c r="A70" s="67"/>
      <c r="B70" s="78" t="s">
        <v>34</v>
      </c>
      <c r="C70" s="60">
        <f>'188'!C67</f>
        <v>0.105778</v>
      </c>
      <c r="D70" s="68"/>
    </row>
    <row r="71" spans="1:5" x14ac:dyDescent="0.3">
      <c r="A71" s="67"/>
      <c r="B71" s="78"/>
      <c r="C71" s="60"/>
      <c r="D71" s="68"/>
    </row>
    <row r="72" spans="1:5" x14ac:dyDescent="0.3">
      <c r="A72" s="67"/>
      <c r="B72" s="78"/>
      <c r="C72" s="60"/>
      <c r="D72" s="68"/>
    </row>
    <row r="73" spans="1:5" x14ac:dyDescent="0.3">
      <c r="A73" s="67" t="s">
        <v>57</v>
      </c>
      <c r="B73" s="78"/>
      <c r="C73" s="60"/>
      <c r="D73" s="68"/>
    </row>
    <row r="74" spans="1:5" x14ac:dyDescent="0.3">
      <c r="A74" s="67"/>
      <c r="B74" s="78"/>
      <c r="C74" s="60"/>
      <c r="D74" s="68"/>
    </row>
    <row r="75" spans="1:5" x14ac:dyDescent="0.3">
      <c r="A75" s="67"/>
      <c r="B75" s="78"/>
      <c r="C75" s="60"/>
      <c r="D75" s="68"/>
    </row>
    <row r="76" spans="1:5" x14ac:dyDescent="0.3">
      <c r="A76" s="67"/>
      <c r="B76" s="5"/>
      <c r="C76" s="18"/>
      <c r="D76" s="74"/>
    </row>
    <row r="77" spans="1:5" x14ac:dyDescent="0.3">
      <c r="A77" s="67"/>
      <c r="B77" s="5"/>
      <c r="C77" s="18"/>
      <c r="D77" s="74">
        <f>ROUND(C78,2)</f>
        <v>6.34</v>
      </c>
    </row>
    <row r="78" spans="1:5" x14ac:dyDescent="0.3">
      <c r="A78" s="67" t="s">
        <v>36</v>
      </c>
      <c r="B78" s="5" t="s">
        <v>37</v>
      </c>
      <c r="C78" s="72">
        <f>'188'!C74</f>
        <v>6.34</v>
      </c>
      <c r="D78" s="74"/>
    </row>
    <row r="79" spans="1:5" x14ac:dyDescent="0.3">
      <c r="A79" s="67"/>
      <c r="B79" s="5"/>
      <c r="C79" s="18"/>
      <c r="D79" s="74"/>
    </row>
    <row r="80" spans="1:5" x14ac:dyDescent="0.3">
      <c r="A80" s="67"/>
      <c r="B80" s="5"/>
      <c r="C80" s="5"/>
      <c r="D80" s="74">
        <f>IF(B20&lt;0,ROUND((C81*B21)+(B22*C83),2),ROUND(C81*$B$21,2)+ROUND(C82*$B$20,2)+ROUND(C83*$B$22,2))</f>
        <v>6258.7800000000007</v>
      </c>
      <c r="E80" s="3"/>
    </row>
    <row r="81" spans="1:4" x14ac:dyDescent="0.3">
      <c r="A81" s="67" t="s">
        <v>38</v>
      </c>
      <c r="B81" s="5" t="s">
        <v>20</v>
      </c>
      <c r="C81" s="18">
        <f>'188'!C77</f>
        <v>1.7395592</v>
      </c>
      <c r="D81" s="74"/>
    </row>
    <row r="82" spans="1:4" x14ac:dyDescent="0.3">
      <c r="A82" s="67"/>
      <c r="B82" s="5" t="s">
        <v>35</v>
      </c>
      <c r="C82" s="18">
        <f>'188'!C78</f>
        <v>6.9340000000000005E-4</v>
      </c>
      <c r="D82" s="74"/>
    </row>
    <row r="83" spans="1:4" x14ac:dyDescent="0.3">
      <c r="A83" s="67"/>
      <c r="B83" s="5" t="s">
        <v>39</v>
      </c>
      <c r="C83" s="18">
        <f>'188'!C79</f>
        <v>0</v>
      </c>
      <c r="D83" s="74"/>
    </row>
    <row r="84" spans="1:4" x14ac:dyDescent="0.3">
      <c r="A84" s="67"/>
      <c r="B84" s="5"/>
      <c r="C84" s="18"/>
      <c r="D84" s="74"/>
    </row>
    <row r="85" spans="1:4" x14ac:dyDescent="0.3">
      <c r="A85" s="67"/>
      <c r="B85" s="5"/>
      <c r="C85" s="18"/>
      <c r="D85" s="59">
        <f>ROUND((D29+D35)*C86,2)</f>
        <v>-52.29</v>
      </c>
    </row>
    <row r="86" spans="1:4" x14ac:dyDescent="0.3">
      <c r="A86" s="67" t="s">
        <v>40</v>
      </c>
      <c r="B86" s="5" t="s">
        <v>34</v>
      </c>
      <c r="C86" s="56">
        <f>'188'!C82</f>
        <v>-1.9311999999999999E-2</v>
      </c>
      <c r="D86" s="74"/>
    </row>
    <row r="87" spans="1:4" x14ac:dyDescent="0.3">
      <c r="A87" s="67"/>
      <c r="B87" s="5"/>
      <c r="C87" s="18"/>
      <c r="D87" s="74"/>
    </row>
    <row r="88" spans="1:4" x14ac:dyDescent="0.3">
      <c r="A88" s="79" t="s">
        <v>41</v>
      </c>
      <c r="B88" s="5"/>
      <c r="C88" s="18"/>
      <c r="D88" s="80">
        <f>SUM(D32:D85)</f>
        <v>18724.049828000003</v>
      </c>
    </row>
    <row r="89" spans="1:4" x14ac:dyDescent="0.3">
      <c r="A89" s="69"/>
      <c r="B89" s="5"/>
      <c r="C89" s="18"/>
      <c r="D89" s="74"/>
    </row>
    <row r="90" spans="1:4" ht="15" thickBot="1" x14ac:dyDescent="0.35">
      <c r="A90" s="81" t="s">
        <v>42</v>
      </c>
      <c r="B90" s="82"/>
      <c r="C90" s="83"/>
      <c r="D90" s="84">
        <f>SUM(D88+D29)</f>
        <v>18862.629828000005</v>
      </c>
    </row>
    <row r="91" spans="1:4" x14ac:dyDescent="0.3">
      <c r="A91" s="8"/>
      <c r="B91" s="8"/>
      <c r="C91" s="5"/>
      <c r="D91" s="10"/>
    </row>
    <row r="92" spans="1:4" x14ac:dyDescent="0.3">
      <c r="A92" s="8"/>
      <c r="B92" s="8"/>
      <c r="C92" s="5"/>
      <c r="D92" s="10"/>
    </row>
    <row r="93" spans="1:4" x14ac:dyDescent="0.3">
      <c r="A93" s="8"/>
      <c r="B93" s="8"/>
      <c r="C93" s="5"/>
      <c r="D93" s="10"/>
    </row>
    <row r="94" spans="1:4" x14ac:dyDescent="0.3">
      <c r="A94" s="8"/>
      <c r="B94" s="8"/>
      <c r="C94" s="5"/>
      <c r="D94" s="10"/>
    </row>
    <row r="95" spans="1:4" ht="15" thickBot="1" x14ac:dyDescent="0.35">
      <c r="A95" s="8"/>
      <c r="B95" s="8"/>
      <c r="C95" s="5"/>
      <c r="D95" s="10"/>
    </row>
    <row r="96" spans="1:4" ht="15.6" thickTop="1" thickBot="1" x14ac:dyDescent="0.35">
      <c r="A96" s="36" t="s">
        <v>43</v>
      </c>
      <c r="B96" s="37"/>
      <c r="C96" s="38"/>
      <c r="D96" s="39"/>
    </row>
    <row r="97" spans="1:6" ht="15" thickTop="1" x14ac:dyDescent="0.3">
      <c r="A97" s="25" t="s">
        <v>44</v>
      </c>
      <c r="B97" s="26"/>
      <c r="C97" s="26"/>
      <c r="D97" s="27">
        <f>ROUND(C98*$B$20,2)</f>
        <v>156314.70000000001</v>
      </c>
    </row>
    <row r="98" spans="1:6" x14ac:dyDescent="0.3">
      <c r="A98" s="29"/>
      <c r="B98" s="5" t="s">
        <v>35</v>
      </c>
      <c r="C98" s="18">
        <f>'188'!C94</f>
        <v>0.10420980000000001</v>
      </c>
      <c r="D98" s="28"/>
    </row>
    <row r="99" spans="1:6" x14ac:dyDescent="0.3">
      <c r="A99" s="30"/>
      <c r="B99" s="5"/>
      <c r="C99" s="18"/>
      <c r="D99" s="28"/>
      <c r="F99" s="4"/>
    </row>
    <row r="100" spans="1:6" ht="15" thickBot="1" x14ac:dyDescent="0.35">
      <c r="A100" s="31" t="s">
        <v>45</v>
      </c>
      <c r="B100" s="32"/>
      <c r="C100" s="33"/>
      <c r="D100" s="34">
        <f>SUM(D97)</f>
        <v>156314.70000000001</v>
      </c>
      <c r="F100" s="4"/>
    </row>
    <row r="101" spans="1:6" ht="15" thickTop="1" x14ac:dyDescent="0.3">
      <c r="A101" s="20"/>
      <c r="B101" s="8"/>
      <c r="C101" s="35"/>
      <c r="D101" s="21"/>
      <c r="F101" s="4"/>
    </row>
    <row r="102" spans="1:6" ht="15" thickBot="1" x14ac:dyDescent="0.35">
      <c r="A102" s="22" t="s">
        <v>46</v>
      </c>
      <c r="B102" s="23"/>
      <c r="C102" s="23"/>
      <c r="D102" s="24">
        <f>D100+D90</f>
        <v>175177.32982800002</v>
      </c>
    </row>
    <row r="103" spans="1:6" ht="15.6" thickTop="1" thickBot="1" x14ac:dyDescent="0.35">
      <c r="A103" s="8"/>
      <c r="B103" s="8"/>
      <c r="C103" s="5"/>
      <c r="D103" s="9"/>
      <c r="E103" s="3"/>
      <c r="F103" s="3"/>
    </row>
    <row r="104" spans="1:6" ht="15" thickTop="1" x14ac:dyDescent="0.3">
      <c r="A104" s="8"/>
      <c r="B104" s="89" t="s">
        <v>47</v>
      </c>
      <c r="C104" s="90"/>
      <c r="D104" s="91"/>
    </row>
    <row r="105" spans="1:6" x14ac:dyDescent="0.3">
      <c r="A105" s="5"/>
      <c r="B105" s="40"/>
      <c r="C105" s="5"/>
      <c r="D105" s="41"/>
    </row>
    <row r="106" spans="1:6" x14ac:dyDescent="0.3">
      <c r="A106" s="5"/>
      <c r="B106" s="42" t="s">
        <v>14</v>
      </c>
      <c r="C106" s="43"/>
      <c r="D106" s="41"/>
    </row>
    <row r="107" spans="1:6" x14ac:dyDescent="0.3">
      <c r="A107" s="5"/>
      <c r="B107" s="44" t="s">
        <v>48</v>
      </c>
      <c r="C107" s="5"/>
      <c r="D107" s="45">
        <f>D29</f>
        <v>138.58000000000001</v>
      </c>
    </row>
    <row r="108" spans="1:6" x14ac:dyDescent="0.3">
      <c r="A108" s="5"/>
      <c r="B108" s="44" t="s">
        <v>49</v>
      </c>
      <c r="C108" s="5"/>
      <c r="D108" s="45">
        <f>D88</f>
        <v>18724.049828000003</v>
      </c>
    </row>
    <row r="109" spans="1:6" x14ac:dyDescent="0.3">
      <c r="A109" s="5"/>
      <c r="B109" s="46" t="s">
        <v>42</v>
      </c>
      <c r="C109" s="8"/>
      <c r="D109" s="47">
        <f>D90</f>
        <v>18862.629828000005</v>
      </c>
    </row>
    <row r="110" spans="1:6" x14ac:dyDescent="0.3">
      <c r="A110" s="5"/>
      <c r="B110" s="48"/>
      <c r="C110" s="5"/>
      <c r="D110" s="45"/>
    </row>
    <row r="111" spans="1:6" x14ac:dyDescent="0.3">
      <c r="A111" s="5"/>
      <c r="B111" s="50" t="s">
        <v>50</v>
      </c>
      <c r="C111" s="5"/>
      <c r="D111" s="45"/>
    </row>
    <row r="112" spans="1:6" ht="15" thickBot="1" x14ac:dyDescent="0.35">
      <c r="A112" s="5"/>
      <c r="B112" s="51" t="s">
        <v>45</v>
      </c>
      <c r="C112" s="49"/>
      <c r="D112" s="52">
        <f>D100</f>
        <v>156314.70000000001</v>
      </c>
    </row>
    <row r="113" spans="1:2" ht="15" thickTop="1" x14ac:dyDescent="0.3">
      <c r="A113" s="3"/>
    </row>
    <row r="114" spans="1:2" x14ac:dyDescent="0.3">
      <c r="A114" s="3"/>
    </row>
    <row r="117" spans="1:2" x14ac:dyDescent="0.3">
      <c r="A117" s="3"/>
      <c r="B117" s="3"/>
    </row>
  </sheetData>
  <sheetProtection algorithmName="SHA-512" hashValue="TRh2H8Wf1Lhr5U1N6yJDynZsxhS/4/EYIJRPNb5OcfLFBtZ/Bjhx/x5JeJUSOYhQe0V7jzH+U7DpHvlRDHYoxg==" saltValue="YsBiCVI0h9C+dzRvtoBNOw==" spinCount="100000" sheet="1" selectLockedCells="1"/>
  <mergeCells count="9">
    <mergeCell ref="A16:D16"/>
    <mergeCell ref="B104:D104"/>
    <mergeCell ref="A7:D7"/>
    <mergeCell ref="A1:D1"/>
    <mergeCell ref="A2:D2"/>
    <mergeCell ref="A5:D5"/>
    <mergeCell ref="A6:D6"/>
    <mergeCell ref="A14:D14"/>
    <mergeCell ref="A15:D15"/>
  </mergeCells>
  <conditionalFormatting sqref="C64:C76">
    <cfRule type="cellIs" dxfId="7" priority="1" operator="lessThan">
      <formula>0</formula>
    </cfRule>
  </conditionalFormatting>
  <conditionalFormatting sqref="C85:C86">
    <cfRule type="cellIs" dxfId="6" priority="7" operator="lessThan">
      <formula>0</formula>
    </cfRule>
  </conditionalFormatting>
  <conditionalFormatting sqref="C1:D2 C3 C4:D6 C8:D15 C87:D103 C105:D65543">
    <cfRule type="cellIs" dxfId="5" priority="12" operator="lessThan">
      <formula>0</formula>
    </cfRule>
  </conditionalFormatting>
  <conditionalFormatting sqref="C17:D63">
    <cfRule type="cellIs" dxfId="4" priority="3" operator="lessThan">
      <formula>0</formula>
    </cfRule>
  </conditionalFormatting>
  <conditionalFormatting sqref="D63:D76 C77:D84">
    <cfRule type="cellIs" dxfId="3" priority="4" operator="lessThan">
      <formula>0</formula>
    </cfRule>
  </conditionalFormatting>
  <conditionalFormatting sqref="D85">
    <cfRule type="cellIs" dxfId="2" priority="5" operator="lessThan">
      <formula>0</formula>
    </cfRule>
    <cfRule type="cellIs" dxfId="1" priority="6" operator="lessThan">
      <formula>0</formula>
    </cfRule>
  </conditionalFormatting>
  <conditionalFormatting sqref="D86">
    <cfRule type="cellIs" dxfId="0" priority="8" operator="lessThan">
      <formula>0</formula>
    </cfRule>
  </conditionalFormatting>
  <dataValidations count="2">
    <dataValidation type="decimal" errorStyle="information" allowBlank="1" showErrorMessage="1" errorTitle="Invalid Entry" error="This cell must contain a positive number._x000a_" sqref="B18:B19 B21:B22" xr:uid="{00000000-0002-0000-0100-000000000000}">
      <formula1>0</formula1>
      <formula2>100000000</formula2>
    </dataValidation>
    <dataValidation type="decimal" errorStyle="information" allowBlank="1" showInputMessage="1" showErrorMessage="1" errorTitle="Invalid Entry" error="This cell must contain a positive number." sqref="B20" xr:uid="{00000000-0002-0000-0100-000001000000}">
      <formula1>0</formula1>
      <formula2>100000000</formula2>
    </dataValidation>
  </dataValidations>
  <printOptions horizontalCentered="1"/>
  <pageMargins left="0.7" right="0.7" top="0.75" bottom="0.75" header="0.3" footer="0.3"/>
  <pageSetup scale="77" orientation="portrait" r:id="rId1"/>
  <headerFooter>
    <oddHeader xml:space="preserve">&amp;L&amp;G&amp;R&amp;"Arial,Regular"Effective April 1, 2024
</oddHeader>
    <oddFooter>&amp;L&amp;"Arial,Regular"Worksheet valid for calculating bills starting on April 1, 2024.</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35DA127EFEA643A071466D67462D58" ma:contentTypeVersion="18" ma:contentTypeDescription="Create a new document." ma:contentTypeScope="" ma:versionID="bb4d01d89fac8602414c897f6783ecea">
  <xsd:schema xmlns:xsd="http://www.w3.org/2001/XMLSchema" xmlns:xs="http://www.w3.org/2001/XMLSchema" xmlns:p="http://schemas.microsoft.com/office/2006/metadata/properties" xmlns:ns2="64e94169-021c-4578-be09-6006b4dea068" xmlns:ns3="8e537545-18ac-42cc-8f2a-89499299f0e1" targetNamespace="http://schemas.microsoft.com/office/2006/metadata/properties" ma:root="true" ma:fieldsID="adac88aae904a8fc569624feeb3c92b0" ns2:_="" ns3:_="">
    <xsd:import namespace="64e94169-021c-4578-be09-6006b4dea068"/>
    <xsd:import namespace="8e537545-18ac-42cc-8f2a-89499299f0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_Flow_SignoffStatu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94169-021c-4578-be09-6006b4dea0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Flow_SignoffStatus" ma:index="19" nillable="true" ma:displayName="Sign-off status" ma:internalName="Sign_x002d_off_x0020_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d4df7da-c195-4679-b09b-159ed35ba1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537545-18ac-42cc-8f2a-89499299f0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45159a9-6d9c-4454-b472-74cf3cb3e2d5}" ma:internalName="TaxCatchAll" ma:showField="CatchAllData" ma:web="8e537545-18ac-42cc-8f2a-89499299f0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4e94169-021c-4578-be09-6006b4dea068" xsi:nil="true"/>
    <TaxCatchAll xmlns="8e537545-18ac-42cc-8f2a-89499299f0e1" xsi:nil="true"/>
    <lcf76f155ced4ddcb4097134ff3c332f xmlns="64e94169-021c-4578-be09-6006b4dea06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BF29F10-EAEB-403C-8D7C-333E0DDB74AB}">
  <ds:schemaRefs>
    <ds:schemaRef ds:uri="http://schemas.microsoft.com/sharepoint/v3/contenttype/forms"/>
  </ds:schemaRefs>
</ds:datastoreItem>
</file>

<file path=customXml/itemProps2.xml><?xml version="1.0" encoding="utf-8"?>
<ds:datastoreItem xmlns:ds="http://schemas.openxmlformats.org/officeDocument/2006/customXml" ds:itemID="{D2963B87-56DB-4E31-85F0-915F227BD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94169-021c-4578-be09-6006b4dea068"/>
    <ds:schemaRef ds:uri="8e537545-18ac-42cc-8f2a-89499299f0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2F9894-3058-451F-A78E-B4CB1568A9B0}">
  <ds:schemaRefs>
    <ds:schemaRef ds:uri="http://www.w3.org/XML/1998/namespace"/>
    <ds:schemaRef ds:uri="8e537545-18ac-42cc-8f2a-89499299f0e1"/>
    <ds:schemaRef ds:uri="http://purl.org/dc/term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64e94169-021c-4578-be09-6006b4dea068"/>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188</vt:lpstr>
      <vt:lpstr>188 Net Metering</vt:lpstr>
    </vt:vector>
  </TitlesOfParts>
  <Manager/>
  <Company>The Dayton Power and Light Company,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Blevins</dc:creator>
  <cp:keywords/>
  <dc:description/>
  <cp:lastModifiedBy>Sakshee Vaidya</cp:lastModifiedBy>
  <cp:revision/>
  <dcterms:created xsi:type="dcterms:W3CDTF">2010-05-07T14:07:10Z</dcterms:created>
  <dcterms:modified xsi:type="dcterms:W3CDTF">2024-03-26T15:45:37Z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0x010100F335DA127EFEA643A071466D67462D58</vt:lpwstr>
  </property>
  <property fmtid="{D5CDD505-2E9C-101B-9397-08002B2CF9AE}" pid="3" name="MediaServiceImageTags">
    <vt:lpwstr/>
  </property>
</Properties>
</file>